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295" windowWidth="19320" windowHeight="5265" activeTab="0"/>
  </bookViews>
  <sheets>
    <sheet name="SAPQ Process Explained" sheetId="1" r:id="rId1"/>
    <sheet name="Select Material" sheetId="2" r:id="rId2"/>
    <sheet name="Calculate R-value" sheetId="3" r:id="rId3"/>
    <sheet name="Construction Layers" sheetId="4" r:id="rId4"/>
    <sheet name="Changecontrol" sheetId="5" state="hidden" r:id="rId5"/>
  </sheets>
  <definedNames>
    <definedName name="Index1">'Select Material'!$B$7</definedName>
    <definedName name="Index10">'Select Material'!$K$7</definedName>
    <definedName name="Index2">'Select Material'!$C$7</definedName>
    <definedName name="Index3">'Select Material'!$D$7</definedName>
    <definedName name="Index4">'Select Material'!$E$7</definedName>
    <definedName name="Index5">'Select Material'!$F$7</definedName>
    <definedName name="Index6">'Select Material'!$G$7</definedName>
    <definedName name="Index7">'Select Material'!$H$7</definedName>
    <definedName name="Index8">'Select Material'!$I$7</definedName>
    <definedName name="Index9">'Select Material'!$J$7</definedName>
  </definedNames>
  <calcPr fullCalcOnLoad="1"/>
</workbook>
</file>

<file path=xl/comments3.xml><?xml version="1.0" encoding="utf-8"?>
<comments xmlns="http://schemas.openxmlformats.org/spreadsheetml/2006/main">
  <authors>
    <author>Will Griffiths</author>
    <author>GriffithsW</author>
  </authors>
  <commentList>
    <comment ref="D16" authorId="0">
      <text>
        <r>
          <rPr>
            <sz val="8"/>
            <rFont val="Tahoma"/>
            <family val="2"/>
          </rPr>
          <t>Example: 100m</t>
        </r>
        <r>
          <rPr>
            <vertAlign val="superscript"/>
            <sz val="8"/>
            <rFont val="Tahoma"/>
            <family val="2"/>
          </rPr>
          <t>3</t>
        </r>
        <r>
          <rPr>
            <sz val="8"/>
            <rFont val="Tahoma"/>
            <family val="2"/>
          </rPr>
          <t>, entry must be overwritten</t>
        </r>
      </text>
    </comment>
    <comment ref="D21" authorId="0">
      <text>
        <r>
          <rPr>
            <sz val="8"/>
            <rFont val="Tahoma"/>
            <family val="2"/>
          </rPr>
          <t>Example: 50m</t>
        </r>
        <r>
          <rPr>
            <vertAlign val="superscript"/>
            <sz val="8"/>
            <rFont val="Tahoma"/>
            <family val="2"/>
          </rPr>
          <t>2</t>
        </r>
        <r>
          <rPr>
            <sz val="8"/>
            <rFont val="Tahoma"/>
            <family val="2"/>
          </rPr>
          <t>, entry must be overwritten</t>
        </r>
      </text>
    </comment>
    <comment ref="D22" authorId="0">
      <text>
        <r>
          <rPr>
            <sz val="8"/>
            <rFont val="Tahoma"/>
            <family val="2"/>
          </rPr>
          <t>Example: 0m</t>
        </r>
        <r>
          <rPr>
            <vertAlign val="superscript"/>
            <sz val="8"/>
            <rFont val="Tahoma"/>
            <family val="2"/>
          </rPr>
          <t>2</t>
        </r>
        <r>
          <rPr>
            <sz val="8"/>
            <rFont val="Tahoma"/>
            <family val="2"/>
          </rPr>
          <t xml:space="preserve"> - No windows, entry must be overwritten</t>
        </r>
      </text>
    </comment>
    <comment ref="D25" authorId="0">
      <text>
        <r>
          <rPr>
            <sz val="8"/>
            <rFont val="Tahoma"/>
            <family val="2"/>
          </rPr>
          <t xml:space="preserve">Example:  Design-stage SAP Assessment dwelling: Constructed on-site with insulated ducting from dynamic insulation to MEV system. Please overwrite example.
</t>
        </r>
      </text>
    </comment>
    <comment ref="D3" authorId="1">
      <text>
        <r>
          <rPr>
            <sz val="8"/>
            <rFont val="Tahoma"/>
            <family val="2"/>
          </rPr>
          <t>Enter dwelling project details</t>
        </r>
      </text>
    </comment>
    <comment ref="D7" authorId="1">
      <text>
        <r>
          <rPr>
            <sz val="8"/>
            <rFont val="Tahoma"/>
            <family val="2"/>
          </rPr>
          <t>Example: Wall 1</t>
        </r>
      </text>
    </comment>
    <comment ref="D17" authorId="1">
      <text>
        <r>
          <rPr>
            <sz val="8"/>
            <rFont val="Tahoma"/>
            <family val="2"/>
          </rPr>
          <t>Example: Airtightness of 3m</t>
        </r>
        <r>
          <rPr>
            <vertAlign val="superscript"/>
            <sz val="8"/>
            <rFont val="Tahoma"/>
            <family val="2"/>
          </rPr>
          <t>3</t>
        </r>
        <r>
          <rPr>
            <sz val="8"/>
            <rFont val="Tahoma"/>
            <family val="2"/>
          </rPr>
          <t>/hr/m</t>
        </r>
        <r>
          <rPr>
            <vertAlign val="superscript"/>
            <sz val="8"/>
            <rFont val="Tahoma"/>
            <family val="2"/>
          </rPr>
          <t>2</t>
        </r>
        <r>
          <rPr>
            <sz val="8"/>
            <rFont val="Tahoma"/>
            <family val="2"/>
          </rPr>
          <t>.  Value must be equal or less than 3m</t>
        </r>
        <r>
          <rPr>
            <vertAlign val="superscript"/>
            <sz val="8"/>
            <rFont val="Tahoma"/>
            <family val="2"/>
          </rPr>
          <t>3</t>
        </r>
        <r>
          <rPr>
            <sz val="8"/>
            <rFont val="Tahoma"/>
            <family val="2"/>
          </rPr>
          <t>/hr/m</t>
        </r>
        <r>
          <rPr>
            <vertAlign val="superscript"/>
            <sz val="8"/>
            <rFont val="Tahoma"/>
            <family val="2"/>
          </rPr>
          <t>2</t>
        </r>
        <r>
          <rPr>
            <sz val="8"/>
            <rFont val="Tahoma"/>
            <family val="2"/>
          </rPr>
          <t xml:space="preserve"> for calculation validity.
For Positive Input Ventilation value not required and any answer is ignored.
</t>
        </r>
      </text>
    </comment>
  </commentList>
</comments>
</file>

<file path=xl/comments4.xml><?xml version="1.0" encoding="utf-8"?>
<comments xmlns="http://schemas.openxmlformats.org/spreadsheetml/2006/main">
  <authors>
    <author>Will Griffiths</author>
    <author>John Hayton</author>
  </authors>
  <commentList>
    <comment ref="C11" authorId="0">
      <text>
        <r>
          <rPr>
            <sz val="8"/>
            <rFont val="Tahoma"/>
            <family val="2"/>
          </rPr>
          <t>Example R</t>
        </r>
        <r>
          <rPr>
            <vertAlign val="subscript"/>
            <sz val="8"/>
            <rFont val="Tahoma"/>
            <family val="2"/>
          </rPr>
          <t>si</t>
        </r>
        <r>
          <rPr>
            <sz val="8"/>
            <rFont val="Tahoma"/>
            <family val="2"/>
          </rPr>
          <t xml:space="preserve"> - horizontal heat flow, entry must be overwritten</t>
        </r>
        <r>
          <rPr>
            <sz val="8"/>
            <rFont val="Tahoma"/>
            <family val="2"/>
          </rPr>
          <t xml:space="preserve">
</t>
        </r>
      </text>
    </comment>
    <comment ref="C12" authorId="0">
      <text>
        <r>
          <rPr>
            <sz val="8"/>
            <rFont val="Tahoma"/>
            <family val="2"/>
          </rPr>
          <t>Example: Plasterboard, entry must be overwritten or left blank</t>
        </r>
      </text>
    </comment>
    <comment ref="C18" authorId="0">
      <text>
        <r>
          <rPr>
            <sz val="8"/>
            <rFont val="Tahoma"/>
            <family val="2"/>
          </rPr>
          <t>Example: Bridged layer - Plasterboard dabs/airspa</t>
        </r>
        <r>
          <rPr>
            <sz val="8"/>
            <rFont val="Tahoma"/>
            <family val="2"/>
          </rPr>
          <t>ce, entry must be overwritten or left blank</t>
        </r>
      </text>
    </comment>
    <comment ref="C13" authorId="0">
      <text>
        <r>
          <rPr>
            <sz val="8"/>
            <rFont val="Tahoma"/>
            <family val="2"/>
          </rPr>
          <t>Example: Dense concrete block, entry must be overwritten or left blank</t>
        </r>
        <r>
          <rPr>
            <sz val="8"/>
            <rFont val="Tahoma"/>
            <family val="2"/>
          </rPr>
          <t xml:space="preserve"> </t>
        </r>
      </text>
    </comment>
    <comment ref="C53" authorId="0">
      <text>
        <r>
          <rPr>
            <sz val="8"/>
            <rFont val="Tahoma"/>
            <family val="2"/>
          </rPr>
          <t>Example R</t>
        </r>
        <r>
          <rPr>
            <vertAlign val="subscript"/>
            <sz val="8"/>
            <rFont val="Tahoma"/>
            <family val="2"/>
          </rPr>
          <t>se</t>
        </r>
        <r>
          <rPr>
            <sz val="8"/>
            <rFont val="Tahoma"/>
            <family val="2"/>
          </rPr>
          <t xml:space="preserve"> - horizontal heat flow, entry must be overwritten</t>
        </r>
      </text>
    </comment>
    <comment ref="C54" authorId="0">
      <text>
        <r>
          <rPr>
            <sz val="8"/>
            <rFont val="Tahoma"/>
            <family val="2"/>
          </rPr>
          <t xml:space="preserve">Example: Brick outer leaf, entry must be overwritten </t>
        </r>
        <r>
          <rPr>
            <sz val="8"/>
            <rFont val="Tahoma"/>
            <family val="2"/>
          </rPr>
          <t>or left blank</t>
        </r>
      </text>
    </comment>
    <comment ref="C19" authorId="1">
      <text>
        <r>
          <rPr>
            <sz val="8"/>
            <rFont val="Arial"/>
            <family val="2"/>
          </rPr>
          <t>Example: Bridged layer - Plasterboard dabs/airspace, entry must be overwritten or left blank</t>
        </r>
        <r>
          <rPr>
            <sz val="9"/>
            <rFont val="Arial"/>
            <family val="2"/>
          </rPr>
          <t xml:space="preserve">
</t>
        </r>
      </text>
    </comment>
    <comment ref="C20" authorId="1">
      <text>
        <r>
          <rPr>
            <sz val="8"/>
            <rFont val="Tahoma"/>
            <family val="2"/>
          </rPr>
          <t>Example: Bridged layer - Plasterboard dabs/airspace, entry must be overwritten or left blank</t>
        </r>
        <r>
          <rPr>
            <sz val="9"/>
            <rFont val="Tahoma"/>
            <family val="2"/>
          </rPr>
          <t xml:space="preserve">
</t>
        </r>
      </text>
    </comment>
    <comment ref="B99" authorId="1">
      <text>
        <r>
          <rPr>
            <b/>
            <sz val="9"/>
            <rFont val="Tahoma"/>
            <family val="2"/>
          </rPr>
          <t>This should match the R-calculation in the U-value calculator.</t>
        </r>
        <r>
          <rPr>
            <sz val="9"/>
            <rFont val="Tahoma"/>
            <family val="2"/>
          </rPr>
          <t xml:space="preserve">
</t>
        </r>
      </text>
    </comment>
    <comment ref="C99" authorId="1">
      <text>
        <r>
          <rPr>
            <b/>
            <sz val="9"/>
            <rFont val="Tahoma"/>
            <family val="2"/>
          </rPr>
          <t>This should match the R-calculation in the U-value calculator.</t>
        </r>
        <r>
          <rPr>
            <sz val="9"/>
            <rFont val="Tahoma"/>
            <family val="2"/>
          </rPr>
          <t xml:space="preserve">
</t>
        </r>
      </text>
    </comment>
  </commentList>
</comments>
</file>

<file path=xl/sharedStrings.xml><?xml version="1.0" encoding="utf-8"?>
<sst xmlns="http://schemas.openxmlformats.org/spreadsheetml/2006/main" count="516" uniqueCount="293">
  <si>
    <t>In order to calculate the dynamic insulation R-value (m²K/W), a U-value (W/m²K) calculation for the applicable construction must first be compiled to ascertain two aggregated R-values for the construction layers on each side of the dynamic insulation.  For example: 1) Outside Layers: OSB sheathing, ventilated cavity, etc. 2) Inside Layers: insulation, unventilated cavity, plasterboard, etc.  
This can be undertaken using a static R-value for the dynamic layer and inputting into compliant U-value calculation software.  R-values for all layers, including thermal bridge R-values and area fractions, should then be input into the ‘Construction Layers’ worksheet from the U-value calculation output data.  The two aggregated R-values are automatically output to the ‘Calculate R-value’ worksheet.
A dynamic R-value can then be calculated for input back into the U-value calculation software.</t>
  </si>
  <si>
    <t>Select a material brand and model for up to 10 construction elements (e.g. heat loss walls, roofs or floors) by entering the appropriate index from the drop-down menu in Boxes Q01a to Q01j.  The same index may be selected for different construction elements and must be defined for a wall, floor or roof, even if they share the same brand and model.  This is due to different surface thermal resistances (R-values) for these orientations.</t>
  </si>
  <si>
    <t>Aggregate thermal resistance (R-value) of layers on the outside of the dynamic insulation including the external surface thermal resistance in m²K/W</t>
  </si>
  <si>
    <t>Aggregate thermal resistance (R-value) of layers on the inside of the dynamic insulation including the internal surface thermal resistance in m²K/W</t>
  </si>
  <si>
    <t>change wording of table Q1 instructions for point 3. in contruction layers sheet to prevent ambigiuity from "inside to outside" to "to the dynamic insulation layer (do not include the dynamic insulation layer)"</t>
  </si>
  <si>
    <t xml:space="preserve">change wording of table Q2 instructions for point 2. i contruction layers sheet to prevent ambigiuity from "outside inwards" to "to the dynamic insulation layer (do not include the dynamic insulation layer)." </t>
  </si>
  <si>
    <t>change references to notional to static R-value</t>
  </si>
  <si>
    <t>added to table Q2 note 3 "and on the Calculate R-value sheet row 20".</t>
  </si>
  <si>
    <t>added to table Q1 note 4 "and on the Calculate R-value sheet row 20".</t>
  </si>
  <si>
    <t xml:space="preserve">added io table Q1 2….."including air gaps" to table Q1 instruction </t>
  </si>
  <si>
    <t>Condition of the supply duct outside the heated space</t>
  </si>
  <si>
    <t>Resistance (R-value) of dynamic insulation layer only (m²K/W)</t>
  </si>
  <si>
    <t>Ventilation system or arrangement</t>
  </si>
  <si>
    <t xml:space="preserve">Dynamic insulation is a configuration of insulation materials that enables incoming ventilation air to be passed through the insulation before entering the dwelling.  By preheating the ventilation air, the heat loss via conduction of the dynamic insulation is reduced and when considered as a system, the net heat loss is also reduced.  </t>
  </si>
  <si>
    <t>Sp Ht Cap (J/kgK) =</t>
  </si>
  <si>
    <t>Rd-ef</t>
  </si>
  <si>
    <t>Ti (C) =</t>
  </si>
  <si>
    <t>To (C) =</t>
  </si>
  <si>
    <t>N</t>
  </si>
  <si>
    <t>Rd-ch</t>
  </si>
  <si>
    <t>TYPE-I (EF-HPM)</t>
  </si>
  <si>
    <t>Density (kg/m3) =</t>
  </si>
  <si>
    <t>TYPE-II (XS-CHA)</t>
  </si>
  <si>
    <r>
      <t xml:space="preserve"> 1 + (1 - c</t>
    </r>
    <r>
      <rPr>
        <vertAlign val="subscript"/>
        <sz val="10"/>
        <color indexed="8"/>
        <rFont val="Arial"/>
        <family val="2"/>
      </rPr>
      <t>1</t>
    </r>
    <r>
      <rPr>
        <sz val="10"/>
        <color indexed="8"/>
        <rFont val="Arial"/>
        <family val="2"/>
      </rPr>
      <t>) x A</t>
    </r>
    <r>
      <rPr>
        <vertAlign val="subscript"/>
        <sz val="10"/>
        <color indexed="8"/>
        <rFont val="Arial"/>
        <family val="2"/>
      </rPr>
      <t>bridging</t>
    </r>
    <r>
      <rPr>
        <sz val="10"/>
        <color indexed="8"/>
        <rFont val="Arial"/>
        <family val="2"/>
      </rPr>
      <t xml:space="preserve"> =</t>
    </r>
  </si>
  <si>
    <r>
      <t>(1 - c</t>
    </r>
    <r>
      <rPr>
        <vertAlign val="subscript"/>
        <sz val="10"/>
        <color indexed="8"/>
        <rFont val="Arial"/>
        <family val="2"/>
      </rPr>
      <t>1</t>
    </r>
    <r>
      <rPr>
        <sz val="10"/>
        <color indexed="8"/>
        <rFont val="Arial"/>
        <family val="2"/>
      </rPr>
      <t>) x U</t>
    </r>
    <r>
      <rPr>
        <vertAlign val="subscript"/>
        <sz val="10"/>
        <color indexed="8"/>
        <rFont val="Arial"/>
        <family val="2"/>
      </rPr>
      <t>bridging</t>
    </r>
    <r>
      <rPr>
        <sz val="10"/>
        <color indexed="8"/>
        <rFont val="Arial"/>
        <family val="2"/>
      </rPr>
      <t xml:space="preserve"> x A</t>
    </r>
    <r>
      <rPr>
        <vertAlign val="subscript"/>
        <sz val="10"/>
        <color indexed="8"/>
        <rFont val="Arial"/>
        <family val="2"/>
      </rPr>
      <t>bridging</t>
    </r>
    <r>
      <rPr>
        <sz val="10"/>
        <color indexed="8"/>
        <rFont val="Arial"/>
        <family val="2"/>
      </rPr>
      <t xml:space="preserve"> =</t>
    </r>
  </si>
  <si>
    <r>
      <t>c</t>
    </r>
    <r>
      <rPr>
        <vertAlign val="subscript"/>
        <sz val="10"/>
        <color indexed="8"/>
        <rFont val="Arial"/>
        <family val="2"/>
      </rPr>
      <t>1</t>
    </r>
    <r>
      <rPr>
        <sz val="10"/>
        <color indexed="8"/>
        <rFont val="Arial"/>
        <family val="2"/>
      </rPr>
      <t xml:space="preserve">  = </t>
    </r>
  </si>
  <si>
    <r>
      <t>c</t>
    </r>
    <r>
      <rPr>
        <vertAlign val="subscript"/>
        <sz val="10"/>
        <color indexed="8"/>
        <rFont val="Arial"/>
        <family val="2"/>
      </rPr>
      <t>2</t>
    </r>
    <r>
      <rPr>
        <sz val="10"/>
        <color indexed="8"/>
        <rFont val="Arial"/>
        <family val="2"/>
      </rPr>
      <t xml:space="preserve">  = </t>
    </r>
  </si>
  <si>
    <r>
      <t>U</t>
    </r>
    <r>
      <rPr>
        <vertAlign val="subscript"/>
        <sz val="10"/>
        <color indexed="8"/>
        <rFont val="Arial"/>
        <family val="2"/>
      </rPr>
      <t>correction</t>
    </r>
    <r>
      <rPr>
        <sz val="10"/>
        <color indexed="8"/>
        <rFont val="Arial"/>
        <family val="2"/>
      </rPr>
      <t xml:space="preserve">  =</t>
    </r>
  </si>
  <si>
    <t>INTRA-CELL THERMAL BRIDGING CORRECTION</t>
  </si>
  <si>
    <t>a</t>
  </si>
  <si>
    <t>M</t>
  </si>
  <si>
    <t>Rd1-ch</t>
  </si>
  <si>
    <t>Rd1-ef</t>
  </si>
  <si>
    <t>Rd2-ef</t>
  </si>
  <si>
    <t>INPUT PARAMETERS</t>
  </si>
  <si>
    <t>Theoretical models of dynamic insulation</t>
  </si>
  <si>
    <t>MEV</t>
  </si>
  <si>
    <r>
      <t>IF</t>
    </r>
    <r>
      <rPr>
        <vertAlign val="subscript"/>
        <sz val="11"/>
        <color indexed="8"/>
        <rFont val="Arial"/>
        <family val="2"/>
      </rPr>
      <t>Sealing</t>
    </r>
  </si>
  <si>
    <r>
      <t>IF</t>
    </r>
    <r>
      <rPr>
        <vertAlign val="subscript"/>
        <sz val="11"/>
        <color indexed="8"/>
        <rFont val="Arial"/>
        <family val="2"/>
      </rPr>
      <t>Wind</t>
    </r>
  </si>
  <si>
    <t>EF, XC</t>
  </si>
  <si>
    <t>XS, XR</t>
  </si>
  <si>
    <r>
      <t>IF</t>
    </r>
    <r>
      <rPr>
        <vertAlign val="subscript"/>
        <sz val="11"/>
        <color indexed="8"/>
        <rFont val="Arial"/>
        <family val="2"/>
      </rPr>
      <t>Ducting</t>
    </r>
  </si>
  <si>
    <t>Index no.</t>
  </si>
  <si>
    <t>UNKNOWN</t>
  </si>
  <si>
    <t>Energyflo</t>
  </si>
  <si>
    <t>SAP Assessment Reference</t>
  </si>
  <si>
    <t>Material index number (taken from "Select material")</t>
  </si>
  <si>
    <t>Material brand name</t>
  </si>
  <si>
    <t>Material model</t>
  </si>
  <si>
    <r>
      <t>R</t>
    </r>
    <r>
      <rPr>
        <vertAlign val="subscript"/>
        <sz val="10"/>
        <color indexed="8"/>
        <rFont val="Arial"/>
        <family val="2"/>
      </rPr>
      <t>d1</t>
    </r>
    <r>
      <rPr>
        <sz val="10"/>
        <color indexed="8"/>
        <rFont val="Arial"/>
        <family val="2"/>
      </rPr>
      <t xml:space="preserve"> = [1/R</t>
    </r>
    <r>
      <rPr>
        <vertAlign val="subscript"/>
        <sz val="10"/>
        <color indexed="8"/>
        <rFont val="Arial"/>
        <family val="2"/>
      </rPr>
      <t>d</t>
    </r>
    <r>
      <rPr>
        <sz val="10"/>
        <color indexed="8"/>
        <rFont val="Arial"/>
        <family val="2"/>
      </rPr>
      <t xml:space="preserve"> +U</t>
    </r>
    <r>
      <rPr>
        <vertAlign val="subscript"/>
        <sz val="10"/>
        <color indexed="8"/>
        <rFont val="Arial"/>
        <family val="2"/>
      </rPr>
      <t>correction</t>
    </r>
    <r>
      <rPr>
        <sz val="10"/>
        <color indexed="8"/>
        <rFont val="Arial"/>
        <family val="2"/>
      </rPr>
      <t>]</t>
    </r>
    <r>
      <rPr>
        <vertAlign val="superscript"/>
        <sz val="10"/>
        <color indexed="8"/>
        <rFont val="Arial"/>
        <family val="2"/>
      </rPr>
      <t>-c2</t>
    </r>
  </si>
  <si>
    <t>Box Q06</t>
  </si>
  <si>
    <t>Box Q02</t>
  </si>
  <si>
    <r>
      <t>Dwelling volume, m</t>
    </r>
    <r>
      <rPr>
        <sz val="10"/>
        <rFont val="Arial"/>
        <family val="2"/>
      </rPr>
      <t>³</t>
    </r>
  </si>
  <si>
    <t>Building method</t>
  </si>
  <si>
    <t>c2</t>
  </si>
  <si>
    <t>Ucorrection</t>
  </si>
  <si>
    <r>
      <t>Vu (m³/s per m</t>
    </r>
    <r>
      <rPr>
        <sz val="10"/>
        <color indexed="8"/>
        <rFont val="Arial"/>
        <family val="2"/>
      </rPr>
      <t>²</t>
    </r>
    <r>
      <rPr>
        <sz val="10"/>
        <color indexed="8"/>
        <rFont val="Arial"/>
        <family val="2"/>
      </rPr>
      <t>)</t>
    </r>
  </si>
  <si>
    <r>
      <t>Va (l/s per m</t>
    </r>
    <r>
      <rPr>
        <sz val="10"/>
        <color indexed="8"/>
        <rFont val="Arial"/>
        <family val="2"/>
      </rPr>
      <t>²</t>
    </r>
    <r>
      <rPr>
        <sz val="10"/>
        <color indexed="8"/>
        <rFont val="Arial"/>
        <family val="2"/>
      </rPr>
      <t>)</t>
    </r>
  </si>
  <si>
    <t>Drop down menu items</t>
  </si>
  <si>
    <t>Introduction</t>
  </si>
  <si>
    <t>Net area m2</t>
  </si>
  <si>
    <t>This accounts for thermal bridging across the static fraction of the cell, with the recovery fraction of the conduction heat loss recovered dynamically to incoming air</t>
  </si>
  <si>
    <t>% change in R</t>
  </si>
  <si>
    <t>α</t>
  </si>
  <si>
    <t>JDC-100</t>
  </si>
  <si>
    <t>JDC-125</t>
  </si>
  <si>
    <t>JDC-150</t>
  </si>
  <si>
    <t>XSCW-1100</t>
  </si>
  <si>
    <t>XSCW-1125</t>
  </si>
  <si>
    <t>XSCW-1150</t>
  </si>
  <si>
    <t>JDP-075</t>
  </si>
  <si>
    <t>JDP-100</t>
  </si>
  <si>
    <t>XSTC-1075</t>
  </si>
  <si>
    <t>XSTC-1100</t>
  </si>
  <si>
    <t>d (m)</t>
  </si>
  <si>
    <t>Ri(m2K/W)</t>
  </si>
  <si>
    <t xml:space="preserve">Ro(m2K/W) </t>
  </si>
  <si>
    <r>
      <t>A</t>
    </r>
    <r>
      <rPr>
        <vertAlign val="subscript"/>
        <sz val="10"/>
        <color indexed="8"/>
        <rFont val="Arial"/>
        <family val="2"/>
      </rPr>
      <t>bridging</t>
    </r>
    <r>
      <rPr>
        <sz val="10"/>
        <color indexed="8"/>
        <rFont val="Arial"/>
        <family val="2"/>
      </rPr>
      <t xml:space="preserve"> </t>
    </r>
  </si>
  <si>
    <r>
      <t>R</t>
    </r>
    <r>
      <rPr>
        <vertAlign val="subscript"/>
        <sz val="10"/>
        <color indexed="8"/>
        <rFont val="Arial"/>
        <family val="2"/>
      </rPr>
      <t>bridging</t>
    </r>
  </si>
  <si>
    <r>
      <t>U</t>
    </r>
    <r>
      <rPr>
        <vertAlign val="subscript"/>
        <sz val="10"/>
        <color indexed="8"/>
        <rFont val="Arial"/>
        <family val="2"/>
      </rPr>
      <t>bridging</t>
    </r>
  </si>
  <si>
    <t>h (m)</t>
  </si>
  <si>
    <t>Rc(m2K/W)</t>
  </si>
  <si>
    <r>
      <t>IF</t>
    </r>
    <r>
      <rPr>
        <vertAlign val="subscript"/>
        <sz val="10"/>
        <color indexed="8"/>
        <rFont val="Arial"/>
        <family val="2"/>
      </rPr>
      <t>S</t>
    </r>
  </si>
  <si>
    <r>
      <t>IF</t>
    </r>
    <r>
      <rPr>
        <vertAlign val="subscript"/>
        <sz val="10"/>
        <color indexed="8"/>
        <rFont val="Arial"/>
        <family val="2"/>
      </rPr>
      <t>W</t>
    </r>
  </si>
  <si>
    <r>
      <t>IF</t>
    </r>
    <r>
      <rPr>
        <vertAlign val="subscript"/>
        <sz val="10"/>
        <color indexed="8"/>
        <rFont val="Arial"/>
        <family val="2"/>
      </rPr>
      <t xml:space="preserve">D </t>
    </r>
  </si>
  <si>
    <t xml:space="preserve"> Recovery fraction</t>
  </si>
  <si>
    <t>c1</t>
  </si>
  <si>
    <t>Box Q01a</t>
  </si>
  <si>
    <t>Box Q01b</t>
  </si>
  <si>
    <t>Box Q01c</t>
  </si>
  <si>
    <t>Va' = Va x IFs x IFw x IFD</t>
  </si>
  <si>
    <t>Rd2-ch*</t>
  </si>
  <si>
    <t>Active area (including any opening area) of construction in m²; if on a slope this is the area of the slope.</t>
  </si>
  <si>
    <t>Box Q01d</t>
  </si>
  <si>
    <t>Box Q01e</t>
  </si>
  <si>
    <t>Box Q01f</t>
  </si>
  <si>
    <t>Box Q01g</t>
  </si>
  <si>
    <t>Box Q01h</t>
  </si>
  <si>
    <t>Box Q01i</t>
  </si>
  <si>
    <t>Box Q01j</t>
  </si>
  <si>
    <t>1st</t>
  </si>
  <si>
    <t>2nd</t>
  </si>
  <si>
    <t>3rd</t>
  </si>
  <si>
    <t>4th</t>
  </si>
  <si>
    <t>5th</t>
  </si>
  <si>
    <t>6th</t>
  </si>
  <si>
    <t>7th</t>
  </si>
  <si>
    <t>8th</t>
  </si>
  <si>
    <t>9th</t>
  </si>
  <si>
    <t>10th</t>
  </si>
  <si>
    <t>Construction element number</t>
  </si>
  <si>
    <t>Construction element number:</t>
  </si>
  <si>
    <t>Other</t>
  </si>
  <si>
    <t>Natural ventilation</t>
  </si>
  <si>
    <t>On-site</t>
  </si>
  <si>
    <t>Uninsulated</t>
  </si>
  <si>
    <t>Insulated</t>
  </si>
  <si>
    <t>Vu' = Vu x IFs x IFw x IFD</t>
  </si>
  <si>
    <t>In-use factors applied as follows</t>
  </si>
  <si>
    <t>Is data valid?</t>
  </si>
  <si>
    <t>Is other data valid?</t>
  </si>
  <si>
    <t>Off-site</t>
  </si>
  <si>
    <t>Material type EF-HPM or XS-CHA</t>
  </si>
  <si>
    <t>XS-CHA</t>
  </si>
  <si>
    <t xml:space="preserve">XS-CHA or EF-HPM </t>
  </si>
  <si>
    <t>A bridging</t>
  </si>
  <si>
    <t>EF-HPM</t>
  </si>
  <si>
    <t>None exposed</t>
  </si>
  <si>
    <t>Mechanical balanced no heat recovery</t>
  </si>
  <si>
    <t>Jablite</t>
  </si>
  <si>
    <t>Box Q04a to Q04j</t>
  </si>
  <si>
    <t>Box Q07</t>
  </si>
  <si>
    <t xml:space="preserve">Table of SAP Appendix Q recognised dynamic insulation materials                                    </t>
  </si>
  <si>
    <t>Dynamic material brand and model selection</t>
  </si>
  <si>
    <t>Rb 
Bridged areas (m²k/W)</t>
  </si>
  <si>
    <t>Construction Layers - Aggregate R-value calculation for layers on each side of dynamic insulation</t>
  </si>
  <si>
    <t>Table Q1: Aggregate R-values for construction layers on the inside of the dynamic insulation</t>
  </si>
  <si>
    <t>Table Q2: Aggregate R-values for construction layers on the outside of the dynamic insulation</t>
  </si>
  <si>
    <t>Version 2 26 Nov 2010</t>
  </si>
  <si>
    <t>Cross-sectional area fraction of thermal bridge 2</t>
  </si>
  <si>
    <t>Cross-sectional area fraction of thermal bridge 1</t>
  </si>
  <si>
    <r>
      <t>Aggregate R-value for inside layers (m</t>
    </r>
    <r>
      <rPr>
        <vertAlign val="superscript"/>
        <sz val="10"/>
        <rFont val="Arial"/>
        <family val="2"/>
      </rPr>
      <t>2</t>
    </r>
    <r>
      <rPr>
        <sz val="10"/>
        <rFont val="Arial"/>
        <family val="0"/>
      </rPr>
      <t>K/W)</t>
    </r>
  </si>
  <si>
    <r>
      <t>Aggregate R-value for outside layers (m</t>
    </r>
    <r>
      <rPr>
        <vertAlign val="superscript"/>
        <sz val="10"/>
        <rFont val="Arial"/>
        <family val="2"/>
      </rPr>
      <t>2</t>
    </r>
    <r>
      <rPr>
        <sz val="10"/>
        <rFont val="Arial"/>
        <family val="0"/>
      </rPr>
      <t>K/W)</t>
    </r>
  </si>
  <si>
    <t>Version 1</t>
  </si>
  <si>
    <t>Added Construction layers sheet</t>
  </si>
  <si>
    <t>added  instructions to U-value check and removed cell b99 label (construction layers) changing instructions to including air gaps.</t>
  </si>
  <si>
    <t>Version 2.01 26 Nov 2010</t>
  </si>
  <si>
    <t>Overall R-value check</t>
  </si>
  <si>
    <t>added R-value check to construction layer</t>
  </si>
  <si>
    <t>As discussed, the dynamic R-value (thermal resistance) of dynamic insulation materials varies with airflow and therefore dwelling air change rate.  This airflow requires the specification of a mechanical ventilation system (all types, except MVHR at the present time).  It is therefore imperative that revisions to ventilation system or dynamic insulation specifications (including applicable construction areas) are reflected in this calculation tool and the corresponding U-value calculation.</t>
  </si>
  <si>
    <t>Opening area (e.g. window) in active construction in m²</t>
  </si>
  <si>
    <t>Error Check:  For the purposes of ensuring correct data entry from the U-value calculation software, the bottom row displays the aggregated R-value (lower limit) for each construction - refer to U-value software for calculation output.  The value will only be displayed when a dynamic insulation material is selected and Tables Q1 and Q2 have been populated with construction layer R-values.  Check that the R-value in the bottom row is the same as that produced with U-value software when using the dynamic insulation static R-value.</t>
  </si>
  <si>
    <t>Version 2.02, 03/12/10 - Changes to text</t>
  </si>
  <si>
    <t>Mechanical balanced with heat recovery (MVHR)</t>
  </si>
  <si>
    <t>Corrected  spelling in mechanical question</t>
  </si>
  <si>
    <t>Corrected P42 to Y42 of Calculate R-value</t>
  </si>
  <si>
    <t>Corrected Q01b label on select material was Q01c</t>
  </si>
  <si>
    <t>Version 2.03 3/12/2010</t>
  </si>
  <si>
    <t>Thickness (mm)</t>
  </si>
  <si>
    <t>Rc Static R-value (m²k/W)</t>
  </si>
  <si>
    <t>Moved alpha, d, material type, R Bridging and A Bridging columns on Select Material to the right so out of site and updated lookup formula corrospondingly.</t>
  </si>
  <si>
    <t>Added further check - only displays results if net area is &gt; zero.</t>
  </si>
  <si>
    <r>
      <t>Vu (m³/s per m</t>
    </r>
    <r>
      <rPr>
        <sz val="10"/>
        <color indexed="8"/>
        <rFont val="Arial"/>
        <family val="2"/>
      </rPr>
      <t>²</t>
    </r>
    <r>
      <rPr>
        <sz val="10"/>
        <color indexed="8"/>
        <rFont val="Arial"/>
        <family val="2"/>
      </rPr>
      <t>) row not used</t>
    </r>
  </si>
  <si>
    <t xml:space="preserve">Remove the height question and renumered following questions.  The height cancels out in the calculation. </t>
  </si>
  <si>
    <t>Order entries by manufacturer.</t>
  </si>
  <si>
    <t>Dwelling designs incorporating dynamic insulation will typically feature proportions of standard insulation, for instance underneath openings and to permit protrusions through the building fabric, and the requirement to maintain an ACH of 0.5.  This standard insulation proportion will require calculation using conventional U-value calculation software (refer above), with the result and applicable area entered into the SAP calculation separately.  NOTE: If possible, the SAP calculation should include notes for each construction (product codes, etc.) for auditing purposes.  Additionally, if the dwelling features more construction types/U-values than the SAP software can incorporate an area-weighted U-value calculation is permitted.</t>
  </si>
  <si>
    <t xml:space="preserve">Step 1: Select the dynamic insulation brand/model for up to ten construction types on "select material" and check details below are correct.  A construction is a heat loss wall, roof or floor.  
A separate construction is required for all construction types (walls, roofs and floors) where any of the construction layers on either side of the dynamic insulation changes.  This includes changes to the thermal bridging ratio. 
Additionally, a separate construction must be defined for a wall, floor or roof, even if utilising the same dynamic insulation brand and model, due to differences in surface thermal resistances (R-values).
NOTE: Only enter actual number of dynamic contruction elements within dwelling, since calculation references single value for volume (Box Q02), i.e. any comparison between alternative construction scenarios (e.g. timber frame vs cavity wall) for dwellings will require population of a new calculation tool for each scenario.
</t>
  </si>
  <si>
    <t>SAP Appendix Q - Calculation process for dynamic insulation material</t>
  </si>
  <si>
    <r>
      <t xml:space="preserve">Instructions - Using results from U-value calculation (dynamic insulation static R-value):
</t>
    </r>
    <r>
      <rPr>
        <b/>
        <sz val="10"/>
        <rFont val="Arial"/>
        <family val="2"/>
      </rPr>
      <t xml:space="preserve">
For Table Q1:
1) Enter the internal surface thermal resistance (Rsi) into the light green row for each construction element
2) For each construction element including air gaps, enter the R-value of the inner most construction layer, such as plaster, into the light yellow row – ‘Unbridged layer 1’.  If this layer is thermally bridged, enter the details (R-value of main material, R-value of thermal bridge and corresponding area fraction) into the light blue rows.  It is possible to add a second bridging material if necessary.  The bridged R-value for this layer will be displayed in the blue row entitled ‘Bridged Layer 1 – R-value calculated’
3) Repeat process for each subsequent layer, working from the internal surface to the dynamic insulation layer (do not include the dynamic insulation layer).
4) The aggregate R-value for construction layers inside the dynamic insulation is displayed in the yellow row for each construction material and within Step 5 of the 'Calculate R-value' worksheet.
For Table Q2:
1) Enter the external surface thermal resistance (Rse) into the light green row for each construction element.
2) Continue as per Table Q1, working from the external surface to the dynamic insulation layer (do not include the dynamic insulation layer). 
3) The aggregate R-value for construction layers outside the dynamic insulation is displayed in the yellow row for each construction material
and within Step 5 of the 'Calculate R-value' worksheet.
Error Check: 
Use the error check box below Table Q2 to check for data entry errors.</t>
    </r>
  </si>
  <si>
    <t>This worksheet calculates two aggregate R-values for the construction layers on each side of the dynamic insulation, where Table Q1 handles layers inside the dynamic insulation and Table Q2 handles those outside.  The aggregate R-value for n layers in series, including the surface resistance coefficient (Rs), is: R1 + R2 + .....+ Rn + Rs; where R1, R2…. is the R-value of each layer.  The R-value of a bridged construction layer is calculated from the R-value of both the main construction material and the bridging material and its fractional area.  It is possible to include two bridging materials per construction layer if required. 
In order to complete the worksheet, a U-value calculation (BS EN ISO 6946 and BR443) must have been compiled using the dynamic insulation static R-value.  Including air gap corrections is not necessary in this calculation tool and will be subsequently added within the U-value calculation (if applicable).</t>
  </si>
  <si>
    <t xml:space="preserve">Dynamic insulation static R-value (Rc) (m² K/W) </t>
  </si>
  <si>
    <t>Version 2.04 09/12/2010</t>
  </si>
  <si>
    <t>Amendments via input from BA</t>
  </si>
  <si>
    <t>Version 2.05 14/12/2010</t>
  </si>
  <si>
    <t>Amendments recommended by manufacturer</t>
  </si>
  <si>
    <t>Version 2.06 15/12/2010</t>
  </si>
  <si>
    <t>Error correction</t>
  </si>
  <si>
    <t>Version 2.07 16/12/2010</t>
  </si>
  <si>
    <t>Added example entries</t>
  </si>
  <si>
    <r>
      <t>Internal surface thermal resistance (R</t>
    </r>
    <r>
      <rPr>
        <vertAlign val="subscript"/>
        <sz val="10"/>
        <rFont val="Arial"/>
        <family val="2"/>
      </rPr>
      <t>si</t>
    </r>
    <r>
      <rPr>
        <sz val="10"/>
        <rFont val="Arial"/>
        <family val="2"/>
      </rPr>
      <t>) (m</t>
    </r>
    <r>
      <rPr>
        <vertAlign val="superscript"/>
        <sz val="10"/>
        <rFont val="Arial"/>
        <family val="2"/>
      </rPr>
      <t>2</t>
    </r>
    <r>
      <rPr>
        <sz val="10"/>
        <rFont val="Arial"/>
        <family val="2"/>
      </rPr>
      <t>K/W)</t>
    </r>
  </si>
  <si>
    <r>
      <t>Unbridged layer 1 (m</t>
    </r>
    <r>
      <rPr>
        <vertAlign val="superscript"/>
        <sz val="10"/>
        <rFont val="Arial"/>
        <family val="2"/>
      </rPr>
      <t>2</t>
    </r>
    <r>
      <rPr>
        <sz val="10"/>
        <rFont val="Arial"/>
        <family val="0"/>
      </rPr>
      <t>K/W)</t>
    </r>
  </si>
  <si>
    <r>
      <t>Unbridged layer 2 (m</t>
    </r>
    <r>
      <rPr>
        <vertAlign val="superscript"/>
        <sz val="10"/>
        <rFont val="Arial"/>
        <family val="2"/>
      </rPr>
      <t>2</t>
    </r>
    <r>
      <rPr>
        <sz val="10"/>
        <rFont val="Arial"/>
        <family val="0"/>
      </rPr>
      <t>K/W)</t>
    </r>
  </si>
  <si>
    <r>
      <t>Unbridged layer 5 (m</t>
    </r>
    <r>
      <rPr>
        <vertAlign val="superscript"/>
        <sz val="10"/>
        <rFont val="Arial"/>
        <family val="2"/>
      </rPr>
      <t>2</t>
    </r>
    <r>
      <rPr>
        <sz val="10"/>
        <rFont val="Arial"/>
        <family val="0"/>
      </rPr>
      <t>K/W)</t>
    </r>
  </si>
  <si>
    <r>
      <t>Unbridged layer 4 (m</t>
    </r>
    <r>
      <rPr>
        <vertAlign val="superscript"/>
        <sz val="10"/>
        <rFont val="Arial"/>
        <family val="2"/>
      </rPr>
      <t>2</t>
    </r>
    <r>
      <rPr>
        <sz val="10"/>
        <rFont val="Arial"/>
        <family val="0"/>
      </rPr>
      <t>K/W)</t>
    </r>
  </si>
  <si>
    <r>
      <t>Unbridged layer 3  (m</t>
    </r>
    <r>
      <rPr>
        <vertAlign val="superscript"/>
        <sz val="10"/>
        <rFont val="Arial"/>
        <family val="2"/>
      </rPr>
      <t>2</t>
    </r>
    <r>
      <rPr>
        <sz val="10"/>
        <rFont val="Arial"/>
        <family val="0"/>
      </rPr>
      <t>K/W)</t>
    </r>
  </si>
  <si>
    <r>
      <t>Main material R-value (m</t>
    </r>
    <r>
      <rPr>
        <vertAlign val="superscript"/>
        <sz val="10"/>
        <rFont val="Arial"/>
        <family val="2"/>
      </rPr>
      <t>2</t>
    </r>
    <r>
      <rPr>
        <sz val="10"/>
        <rFont val="Arial"/>
        <family val="0"/>
      </rPr>
      <t>K/W)</t>
    </r>
  </si>
  <si>
    <r>
      <t>Bridging material 1 R-value (m</t>
    </r>
    <r>
      <rPr>
        <vertAlign val="superscript"/>
        <sz val="10"/>
        <rFont val="Arial"/>
        <family val="2"/>
      </rPr>
      <t>2</t>
    </r>
    <r>
      <rPr>
        <sz val="10"/>
        <rFont val="Arial"/>
        <family val="0"/>
      </rPr>
      <t>K/W)</t>
    </r>
  </si>
  <si>
    <r>
      <t>Bridging material 2 R-value (if applicable) (m</t>
    </r>
    <r>
      <rPr>
        <vertAlign val="superscript"/>
        <sz val="10"/>
        <rFont val="Arial"/>
        <family val="2"/>
      </rPr>
      <t>2</t>
    </r>
    <r>
      <rPr>
        <sz val="10"/>
        <rFont val="Arial"/>
        <family val="0"/>
      </rPr>
      <t>K/W)</t>
    </r>
  </si>
  <si>
    <r>
      <t>Bridged-layer 1 - R-value calculated (m</t>
    </r>
    <r>
      <rPr>
        <vertAlign val="superscript"/>
        <sz val="10"/>
        <rFont val="Arial"/>
        <family val="2"/>
      </rPr>
      <t>2</t>
    </r>
    <r>
      <rPr>
        <sz val="10"/>
        <rFont val="Arial"/>
        <family val="0"/>
      </rPr>
      <t>K/W)</t>
    </r>
  </si>
  <si>
    <r>
      <t>Bridged-layer 5 - R-value calculated (m</t>
    </r>
    <r>
      <rPr>
        <vertAlign val="superscript"/>
        <sz val="10"/>
        <rFont val="Arial"/>
        <family val="2"/>
      </rPr>
      <t>2</t>
    </r>
    <r>
      <rPr>
        <sz val="10"/>
        <rFont val="Arial"/>
        <family val="0"/>
      </rPr>
      <t>K/W)</t>
    </r>
  </si>
  <si>
    <r>
      <t>Bridged-layer 4 - R-value calculated (m</t>
    </r>
    <r>
      <rPr>
        <vertAlign val="superscript"/>
        <sz val="10"/>
        <rFont val="Arial"/>
        <family val="2"/>
      </rPr>
      <t>2</t>
    </r>
    <r>
      <rPr>
        <sz val="10"/>
        <rFont val="Arial"/>
        <family val="0"/>
      </rPr>
      <t>K/W)</t>
    </r>
  </si>
  <si>
    <r>
      <t>Bridged-layer 3 - R-value calculated (m</t>
    </r>
    <r>
      <rPr>
        <vertAlign val="superscript"/>
        <sz val="10"/>
        <rFont val="Arial"/>
        <family val="2"/>
      </rPr>
      <t>2</t>
    </r>
    <r>
      <rPr>
        <sz val="10"/>
        <rFont val="Arial"/>
        <family val="0"/>
      </rPr>
      <t>K/W)</t>
    </r>
  </si>
  <si>
    <r>
      <t>Bridged-layer 2 - R-value calculated (m</t>
    </r>
    <r>
      <rPr>
        <vertAlign val="superscript"/>
        <sz val="10"/>
        <rFont val="Arial"/>
        <family val="2"/>
      </rPr>
      <t>2</t>
    </r>
    <r>
      <rPr>
        <sz val="10"/>
        <rFont val="Arial"/>
        <family val="0"/>
      </rPr>
      <t>K/W)</t>
    </r>
  </si>
  <si>
    <r>
      <t>Static R-value (R</t>
    </r>
    <r>
      <rPr>
        <vertAlign val="subscript"/>
        <sz val="10"/>
        <rFont val="Arial"/>
        <family val="2"/>
      </rPr>
      <t>c</t>
    </r>
    <r>
      <rPr>
        <sz val="10"/>
        <rFont val="Arial"/>
        <family val="0"/>
      </rPr>
      <t>) (m</t>
    </r>
    <r>
      <rPr>
        <vertAlign val="superscript"/>
        <sz val="10"/>
        <rFont val="Arial"/>
        <family val="2"/>
      </rPr>
      <t>2</t>
    </r>
    <r>
      <rPr>
        <sz val="10"/>
        <rFont val="Arial"/>
        <family val="0"/>
      </rPr>
      <t>K/W) (see 'Calculate R-value' worksheet, Box Q01)</t>
    </r>
  </si>
  <si>
    <r>
      <t>Construction R-value (lower limit) with dynamic insulation static R-value (m</t>
    </r>
    <r>
      <rPr>
        <vertAlign val="superscript"/>
        <sz val="10"/>
        <rFont val="Arial"/>
        <family val="2"/>
      </rPr>
      <t>2</t>
    </r>
    <r>
      <rPr>
        <sz val="10"/>
        <rFont val="Arial"/>
        <family val="0"/>
      </rPr>
      <t>K/W)</t>
    </r>
  </si>
  <si>
    <t>Aggregate R-value for inside layers</t>
  </si>
  <si>
    <t>Aggregate R-value for outside layers</t>
  </si>
  <si>
    <r>
      <t>External surface thermal resistance (R</t>
    </r>
    <r>
      <rPr>
        <vertAlign val="subscript"/>
        <sz val="10"/>
        <rFont val="Arial"/>
        <family val="2"/>
      </rPr>
      <t>se</t>
    </r>
    <r>
      <rPr>
        <sz val="10"/>
        <rFont val="Arial"/>
        <family val="2"/>
      </rPr>
      <t>) (m</t>
    </r>
    <r>
      <rPr>
        <vertAlign val="superscript"/>
        <sz val="10"/>
        <rFont val="Arial"/>
        <family val="2"/>
      </rPr>
      <t>2</t>
    </r>
    <r>
      <rPr>
        <sz val="10"/>
        <rFont val="Arial"/>
        <family val="2"/>
      </rPr>
      <t>K/W)</t>
    </r>
  </si>
  <si>
    <t>Added units to construction layers worksheet</t>
  </si>
  <si>
    <t>Example only select another</t>
  </si>
  <si>
    <t>Example only - invalid data</t>
  </si>
  <si>
    <t>Box Q09</t>
  </si>
  <si>
    <t>Yes</t>
  </si>
  <si>
    <t>No</t>
  </si>
  <si>
    <t>N/A – Design Stage Assessment</t>
  </si>
  <si>
    <t>Version 2.08 19/03/2010</t>
  </si>
  <si>
    <t>Added check list questions and renumbered other questions accordingly. Add error checking for new question 8 and 9.</t>
  </si>
  <si>
    <r>
      <t>Has the SAP '</t>
    </r>
    <r>
      <rPr>
        <i/>
        <sz val="10"/>
        <rFont val="Arial"/>
        <family val="2"/>
      </rPr>
      <t xml:space="preserve">Dynamic Insulation design checklist' </t>
    </r>
    <r>
      <rPr>
        <sz val="10"/>
        <rFont val="Arial"/>
        <family val="2"/>
      </rPr>
      <t>been completed and signed?</t>
    </r>
  </si>
  <si>
    <r>
      <t>For As-Built Assessments: Has the SAP '</t>
    </r>
    <r>
      <rPr>
        <i/>
        <sz val="10"/>
        <rFont val="Arial"/>
        <family val="2"/>
      </rPr>
      <t xml:space="preserve">Dynamic Insulation installation &amp; commissioning checklist and certificate' </t>
    </r>
    <r>
      <rPr>
        <sz val="10"/>
        <rFont val="Arial"/>
        <family val="2"/>
      </rPr>
      <t>been completed and signed?</t>
    </r>
  </si>
  <si>
    <r>
      <t xml:space="preserve">This workbook enables the calculation of the thermal resistance (R-value) of up to 10 constructions (also known as heat loss elements) incorporating dynamic insulation within a </t>
    </r>
    <r>
      <rPr>
        <u val="single"/>
        <sz val="14"/>
        <color indexed="9"/>
        <rFont val="Arial"/>
        <family val="2"/>
      </rPr>
      <t>single</t>
    </r>
    <r>
      <rPr>
        <sz val="14"/>
        <color indexed="9"/>
        <rFont val="Arial"/>
        <family val="2"/>
      </rPr>
      <t xml:space="preserve"> dwelling, i.e. floors, walls or roofs.  The calculated R-value(s) (m²K/W) of the dynamic insulation layer(s) can then be used within U-value calculation software, which must be compliant with BS EN ISO 6946 and BR443, to calculate the combined U-value of the applicable construction.  A separate construction is required for a wall, roof or floor even if they have the same material brand and model.  Note: Population of a new calculation tool spreadsheet is required for each dwelling assessed by SAP, since dynamic insulation performance is specific to individual dwellings.</t>
    </r>
  </si>
  <si>
    <t>Step 4: Confirm the following details concerning the dynamic installation and mechanical ventilation system</t>
  </si>
  <si>
    <t>Step 6: Undertake U-value calculation (calculation software must be compliant with BS EN ISO 6946 and BR443) using dynamic insulation static R-value (see Box Q01a to Q01j).  Using these results, go to the 'Construction Layers' worksheet to enter the R-values of the layers on either side of the dynamic insulation material including the surface R-values and the R-values of any thermal bridges and their area fraction.</t>
  </si>
  <si>
    <t>Step 7: The result(s) are displayed in boxes Q10a to Q10j.  This is the R-value (thermal resistance) of the active dynamic insulation layer only, the final U-value(s) can now be calculated using the U-value calculation compiled previously (BS EN ISO 6946 and BR443 compliant) and substituting the static value.
The U-value can then be entered into SAP calculation software as appropriate, ensuring values are referenced as far as practicable.</t>
  </si>
  <si>
    <t>Box Q10</t>
  </si>
  <si>
    <t>Version 2.09 25/03/2010</t>
  </si>
  <si>
    <r>
      <t>Added new question Q09 and renumbered questions "Did the property achieve an airtightness pressure test (q</t>
    </r>
    <r>
      <rPr>
        <vertAlign val="subscript"/>
        <sz val="10"/>
        <rFont val="Arial"/>
        <family val="2"/>
      </rPr>
      <t>50</t>
    </r>
    <r>
      <rPr>
        <sz val="10"/>
        <rFont val="Arial"/>
        <family val="0"/>
      </rPr>
      <t>) of 3 m</t>
    </r>
    <r>
      <rPr>
        <vertAlign val="superscript"/>
        <sz val="10"/>
        <rFont val="Arial"/>
        <family val="2"/>
      </rPr>
      <t>3</t>
    </r>
    <r>
      <rPr>
        <sz val="10"/>
        <rFont val="Arial"/>
        <family val="0"/>
      </rPr>
      <t>/hr/m</t>
    </r>
    <r>
      <rPr>
        <vertAlign val="superscript"/>
        <sz val="10"/>
        <rFont val="Arial"/>
        <family val="2"/>
      </rPr>
      <t>2</t>
    </r>
    <r>
      <rPr>
        <sz val="10"/>
        <rFont val="Arial"/>
        <family val="0"/>
      </rPr>
      <t xml:space="preserve"> or below?"</t>
    </r>
  </si>
  <si>
    <t>Box Q08</t>
  </si>
  <si>
    <t>Brand Name</t>
  </si>
  <si>
    <t>Model Name</t>
  </si>
  <si>
    <t>Version 2.10 29/03/2010</t>
  </si>
  <si>
    <t>Updated various product headings to ensure consistency with NCM (SAP) Identifier</t>
  </si>
  <si>
    <t>Version 2.11 31/03/2010</t>
  </si>
  <si>
    <t>SAP Construction Element Reference</t>
  </si>
  <si>
    <t>Wall 1</t>
  </si>
  <si>
    <t>Version 2.12 1/04/2010</t>
  </si>
  <si>
    <t>Various editorial updates in accordance with BA feedback</t>
  </si>
  <si>
    <t>Mechanical positive input ventilation (PIV) from outside</t>
  </si>
  <si>
    <t>Centralised mechanical extract ventilation (MEV)</t>
  </si>
  <si>
    <t>Decentralised mechanical extract ventilation (MEV)</t>
  </si>
  <si>
    <t>*1 may also mean not applicable</t>
  </si>
  <si>
    <t>In-use factor*</t>
  </si>
  <si>
    <t>Display in-use factors</t>
  </si>
  <si>
    <t>Added decentralised MEV ventilation option to drop down box</t>
  </si>
  <si>
    <t>Box Q03</t>
  </si>
  <si>
    <t>Box Q05a to Q05j</t>
  </si>
  <si>
    <t>Version 2.13 1/04/2010</t>
  </si>
  <si>
    <t>Help?: If the results are not shown, check boxes Q01 to Q10 and worksheet "Construction layers" have been answered correctly.</t>
  </si>
  <si>
    <t>Step 2:  Enter the dwelling heated volume and airtightness</t>
  </si>
  <si>
    <t>Added airtightness field and applicability to Centralised MEV systems, which ranges 0.5 to (0.5 - air tightness/20 *2/3) for Centralised MEV systems</t>
  </si>
  <si>
    <t>Remove question added within Version 2.09, which is now inferred</t>
  </si>
  <si>
    <t>Version 2.14 5/04/2010</t>
  </si>
  <si>
    <t>Updated in-use factors</t>
  </si>
  <si>
    <r>
      <t>Dwelling airtightness (design or pressure test result), Q</t>
    </r>
    <r>
      <rPr>
        <vertAlign val="subscript"/>
        <sz val="10"/>
        <rFont val="Arial"/>
        <family val="2"/>
      </rPr>
      <t>50</t>
    </r>
    <r>
      <rPr>
        <sz val="10"/>
        <rFont val="Arial"/>
        <family val="2"/>
      </rPr>
      <t xml:space="preserve"> in m</t>
    </r>
    <r>
      <rPr>
        <vertAlign val="superscript"/>
        <sz val="10"/>
        <rFont val="Arial"/>
        <family val="2"/>
      </rPr>
      <t>3</t>
    </r>
    <r>
      <rPr>
        <sz val="10"/>
        <rFont val="Arial"/>
        <family val="2"/>
      </rPr>
      <t>/hr/m</t>
    </r>
    <r>
      <rPr>
        <vertAlign val="superscript"/>
        <sz val="10"/>
        <rFont val="Arial"/>
        <family val="2"/>
      </rPr>
      <t>2 *</t>
    </r>
  </si>
  <si>
    <t>* Answer not required for positive ventilation systems</t>
  </si>
  <si>
    <t>corrected ref to static value when decentralised MEV selected</t>
  </si>
  <si>
    <t>Ignores air tightness answer when PIV; otherwise checks within &gt;0 to 3 range.</t>
  </si>
  <si>
    <t>Version 2.14 21/04/2012</t>
  </si>
  <si>
    <t>Phase II products added.</t>
  </si>
  <si>
    <t>XSTS-1115</t>
  </si>
  <si>
    <t>XSTS-1140</t>
  </si>
  <si>
    <t>XSCP-1075</t>
  </si>
  <si>
    <t>XSCP-1100</t>
  </si>
  <si>
    <t>JDF-115</t>
  </si>
  <si>
    <t>JDF-140</t>
  </si>
  <si>
    <t>JDPC-075</t>
  </si>
  <si>
    <t>JDPC-100</t>
  </si>
  <si>
    <t>Step 3: Enter the active area of the dynamic insulation within the wall, floor or roof construction and any opening area in the active area for each construction element.</t>
  </si>
  <si>
    <t xml:space="preserve">Added title instructions to step 3 </t>
  </si>
  <si>
    <t>Step 5: Checklist and calculation procedure check</t>
  </si>
  <si>
    <t>Box Q11</t>
  </si>
  <si>
    <t>Box Q12</t>
  </si>
  <si>
    <t>Has the latest version of document ‘Application of Dynamic Insulation in New Build Housing - Methodology for Calculating Ψ Values’ been adhered to for the purposes of calculating Ψ values to be entered within the SAP calculation?</t>
  </si>
  <si>
    <t>Is question 12 required</t>
  </si>
  <si>
    <t>no</t>
  </si>
  <si>
    <t>Q12 needed</t>
  </si>
  <si>
    <t>yes</t>
  </si>
  <si>
    <t>N/A</t>
  </si>
  <si>
    <t>Box Q13a</t>
  </si>
  <si>
    <t>Box Q13b</t>
  </si>
  <si>
    <t>Box Q13c</t>
  </si>
  <si>
    <t>Box Q13d</t>
  </si>
  <si>
    <t>Box Q13e</t>
  </si>
  <si>
    <t>Box Q13f</t>
  </si>
  <si>
    <t>Box Q13g</t>
  </si>
  <si>
    <t>Box Q13h</t>
  </si>
  <si>
    <t>Box Q13i</t>
  </si>
  <si>
    <t>Box Q13j</t>
  </si>
  <si>
    <t>Hide L to AA when uploaded</t>
  </si>
  <si>
    <t>Added new question 9 and 10 renumbered 13</t>
  </si>
  <si>
    <t>Hide N to AD when uploaded</t>
  </si>
  <si>
    <t>NA</t>
  </si>
  <si>
    <t>Added off-site answer to Q06 with test for validity and offsite data.</t>
  </si>
  <si>
    <t>Version 2.16 17/07/2012</t>
  </si>
  <si>
    <t>Version 2.15 21/04/2012</t>
  </si>
  <si>
    <t>Added 'off-site' building method option for Index No. 112, 113, 116, 117</t>
  </si>
  <si>
    <t>SAP 2009/2012 Appendix Q data entry for Dynamic Insulation</t>
  </si>
  <si>
    <r>
      <t xml:space="preserve">The net heat loss of dynamic insulation (dynamic R-value), when accounting for energy captured via preheating of ventilation air, varies with airflow velocity and therefore dwelling air change rate (ACH).  It follows a curved relationship theoretically tending to zero.  For the purposes of SAP Appendix Q and Building Regulations (ADL1A), the ACH should be set at 0.5, which is the basis of this calculation tool.  </t>
    </r>
    <r>
      <rPr>
        <u val="single"/>
        <sz val="14"/>
        <color indexed="9"/>
        <rFont val="Arial"/>
        <family val="2"/>
      </rPr>
      <t>This calculation tool can only be used with SAP 2009 and SAP 2012 software.</t>
    </r>
  </si>
  <si>
    <t>The Fabric Energy Efficiency in SAP 2009 is defined as the space heating and cooling requirements per square metre of floor area, obtained at worksheet (109) when calculated using natural ventilation with intermittent extract fans.  Since dynamic insulation requires a mechanical ventilation system to perform as modelled, the Fabric Energy Efficiency calculation must use the static R-value.</t>
  </si>
  <si>
    <t xml:space="preserve">Important Note: The Fabric Energy Efficiency calculation within the Standard Assessment Procedure (SAP 2009/2012) can only be undertaken using the static R-value for the dynamic insulation, otherwise the result is invalid.  
The static R-value (Rc) is displayed above under Q01a to Q01j entries.
Refer to the ‘SAPQ Process Explained’ worksheet for further details.
</t>
  </si>
  <si>
    <t>Version 2.2 09/06/2014</t>
  </si>
  <si>
    <t>Added references to SAP 2012</t>
  </si>
  <si>
    <t>SAP - box (17)</t>
  </si>
  <si>
    <t>SAP - box (5)</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</si>
</sst>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000"/>
    <numFmt numFmtId="171" formatCode="0.00000"/>
    <numFmt numFmtId="172" formatCode="0.0000E+00"/>
    <numFmt numFmtId="173" formatCode="0.0000000"/>
    <numFmt numFmtId="174" formatCode="00.00"/>
    <numFmt numFmtId="175" formatCode="0.000;[Red]0.000"/>
    <numFmt numFmtId="176" formatCode="0.00000000000000"/>
    <numFmt numFmtId="177" formatCode="0.0000%"/>
    <numFmt numFmtId="178" formatCode="0.0%"/>
    <numFmt numFmtId="179" formatCode="0.000000"/>
    <numFmt numFmtId="180" formatCode="0\ &quot;kWh&quot;"/>
    <numFmt numFmtId="181" formatCode="0.0000000000"/>
    <numFmt numFmtId="182" formatCode="0.000000000"/>
    <numFmt numFmtId="183" formatCode="0.00000000"/>
    <numFmt numFmtId="184" formatCode="0.0E+00"/>
    <numFmt numFmtId="185" formatCode="0.000E+00"/>
    <numFmt numFmtId="186" formatCode="0.000000000000000"/>
    <numFmt numFmtId="187" formatCode="0.0000000000000"/>
    <numFmt numFmtId="188" formatCode="0.000000000000"/>
    <numFmt numFmtId="189" formatCode="0.00000000000"/>
    <numFmt numFmtId="190" formatCode="0.00000E+00"/>
    <numFmt numFmtId="191" formatCode="0.000000E+00"/>
    <numFmt numFmtId="192" formatCode="0.000;;;"/>
  </numFmts>
  <fonts count="96">
    <font>
      <sz val="10"/>
      <name val="Arial"/>
      <family val="0"/>
    </font>
    <font>
      <sz val="8"/>
      <name val="Arial"/>
      <family val="2"/>
    </font>
    <font>
      <i/>
      <sz val="10"/>
      <name val="Times New Roman"/>
      <family val="1"/>
    </font>
    <font>
      <u val="single"/>
      <sz val="10"/>
      <color indexed="36"/>
      <name val="Arial"/>
      <family val="2"/>
    </font>
    <font>
      <u val="single"/>
      <sz val="10"/>
      <color indexed="12"/>
      <name val="Arial"/>
      <family val="2"/>
    </font>
    <font>
      <i/>
      <sz val="10"/>
      <name val="Arial"/>
      <family val="2"/>
    </font>
    <font>
      <sz val="10"/>
      <color indexed="8"/>
      <name val="Arial"/>
      <family val="2"/>
    </font>
    <font>
      <sz val="11"/>
      <color indexed="8"/>
      <name val="Arial"/>
      <family val="2"/>
    </font>
    <font>
      <b/>
      <sz val="12"/>
      <color indexed="9"/>
      <name val="Arial"/>
      <family val="2"/>
    </font>
    <font>
      <b/>
      <sz val="10"/>
      <color indexed="8"/>
      <name val="Arial"/>
      <family val="2"/>
    </font>
    <font>
      <vertAlign val="subscript"/>
      <sz val="10"/>
      <color indexed="8"/>
      <name val="Arial"/>
      <family val="2"/>
    </font>
    <font>
      <sz val="10"/>
      <color indexed="9"/>
      <name val="Arial"/>
      <family val="2"/>
    </font>
    <font>
      <i/>
      <sz val="10"/>
      <name val="Symbol"/>
      <family val="1"/>
    </font>
    <font>
      <i/>
      <sz val="10"/>
      <color indexed="8"/>
      <name val="Times New Roman"/>
      <family val="1"/>
    </font>
    <font>
      <vertAlign val="subscript"/>
      <sz val="11"/>
      <color indexed="8"/>
      <name val="Arial"/>
      <family val="2"/>
    </font>
    <font>
      <sz val="11"/>
      <name val="Arial"/>
      <family val="2"/>
    </font>
    <font>
      <b/>
      <sz val="14"/>
      <color indexed="9"/>
      <name val="Arial"/>
      <family val="2"/>
    </font>
    <font>
      <sz val="8"/>
      <color indexed="9"/>
      <name val="Arial"/>
      <family val="2"/>
    </font>
    <font>
      <sz val="18"/>
      <color indexed="9"/>
      <name val="Arial"/>
      <family val="2"/>
    </font>
    <font>
      <b/>
      <sz val="14"/>
      <name val="Arial"/>
      <family val="2"/>
    </font>
    <font>
      <b/>
      <sz val="10"/>
      <name val="Arial"/>
      <family val="2"/>
    </font>
    <font>
      <b/>
      <sz val="8"/>
      <color indexed="12"/>
      <name val="Arial"/>
      <family val="2"/>
    </font>
    <font>
      <sz val="8"/>
      <color indexed="12"/>
      <name val="Arial"/>
      <family val="2"/>
    </font>
    <font>
      <b/>
      <vertAlign val="superscript"/>
      <sz val="10"/>
      <name val="Times New Roman"/>
      <family val="1"/>
    </font>
    <font>
      <b/>
      <sz val="10"/>
      <name val="Times New Roman"/>
      <family val="1"/>
    </font>
    <font>
      <b/>
      <sz val="10"/>
      <color indexed="12"/>
      <name val="Arial"/>
      <family val="2"/>
    </font>
    <font>
      <sz val="10"/>
      <color indexed="55"/>
      <name val="Wingdings"/>
      <family val="0"/>
    </font>
    <font>
      <vertAlign val="superscript"/>
      <sz val="10"/>
      <color indexed="8"/>
      <name val="Arial"/>
      <family val="2"/>
    </font>
    <font>
      <sz val="10"/>
      <name val="Times New Roman"/>
      <family val="1"/>
    </font>
    <font>
      <i/>
      <sz val="10"/>
      <color indexed="55"/>
      <name val="Times New Roman"/>
      <family val="1"/>
    </font>
    <font>
      <sz val="10"/>
      <color indexed="10"/>
      <name val="Arial"/>
      <family val="2"/>
    </font>
    <font>
      <sz val="10"/>
      <color indexed="22"/>
      <name val="Arial"/>
      <family val="2"/>
    </font>
    <font>
      <sz val="10"/>
      <color indexed="8"/>
      <name val="Times New Roman"/>
      <family val="1"/>
    </font>
    <font>
      <b/>
      <sz val="10"/>
      <color indexed="10"/>
      <name val="Arial"/>
      <family val="2"/>
    </font>
    <font>
      <sz val="14"/>
      <color indexed="9"/>
      <name val="Arial"/>
      <family val="2"/>
    </font>
    <font>
      <sz val="14"/>
      <name val="Arial"/>
      <family val="2"/>
    </font>
    <font>
      <sz val="14"/>
      <color indexed="8"/>
      <name val="Arial"/>
      <family val="2"/>
    </font>
    <font>
      <sz val="9"/>
      <color indexed="8"/>
      <name val="Arial"/>
      <family val="2"/>
    </font>
    <font>
      <sz val="9"/>
      <name val="Arial"/>
      <family val="2"/>
    </font>
    <font>
      <b/>
      <sz val="10"/>
      <color indexed="10"/>
      <name val="Wingdings 2"/>
      <family val="1"/>
    </font>
    <font>
      <b/>
      <sz val="8"/>
      <name val="Arial"/>
      <family val="2"/>
    </font>
    <font>
      <b/>
      <sz val="10"/>
      <color indexed="9"/>
      <name val="Arial"/>
      <family val="2"/>
    </font>
    <font>
      <b/>
      <sz val="12"/>
      <name val="Arial"/>
      <family val="2"/>
    </font>
    <font>
      <vertAlign val="subscript"/>
      <sz val="10"/>
      <name val="Arial"/>
      <family val="2"/>
    </font>
    <font>
      <b/>
      <u val="single"/>
      <sz val="10"/>
      <name val="Arial"/>
      <family val="2"/>
    </font>
    <font>
      <vertAlign val="superscript"/>
      <sz val="10"/>
      <name val="Arial"/>
      <family val="2"/>
    </font>
    <font>
      <sz val="16"/>
      <color indexed="9"/>
      <name val="Arial"/>
      <family val="2"/>
    </font>
    <font>
      <sz val="16"/>
      <name val="Arial"/>
      <family val="2"/>
    </font>
    <font>
      <sz val="8"/>
      <name val="Tahoma"/>
      <family val="2"/>
    </font>
    <font>
      <vertAlign val="superscript"/>
      <sz val="8"/>
      <name val="Tahoma"/>
      <family val="2"/>
    </font>
    <font>
      <vertAlign val="subscript"/>
      <sz val="8"/>
      <name val="Tahoma"/>
      <family val="2"/>
    </font>
    <font>
      <sz val="9"/>
      <name val="Tahoma"/>
      <family val="2"/>
    </font>
    <font>
      <b/>
      <sz val="9"/>
      <name val="Tahoma"/>
      <family val="2"/>
    </font>
    <font>
      <u val="single"/>
      <sz val="14"/>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Calibri"/>
      <family val="2"/>
    </font>
    <font>
      <sz val="8"/>
      <color indexed="23"/>
      <name val="Arial"/>
      <family val="2"/>
    </font>
    <font>
      <b/>
      <sz val="11"/>
      <color indexed="8"/>
      <name val="Arial"/>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sz val="8"/>
      <color theme="0" tint="-0.4999699890613556"/>
      <name val="Arial"/>
      <family val="2"/>
    </font>
    <font>
      <b/>
      <sz val="10"/>
      <color theme="0"/>
      <name val="Arial"/>
      <family val="2"/>
    </font>
    <font>
      <b/>
      <sz val="10"/>
      <color rgb="FFFF0000"/>
      <name val="Arial"/>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2"/>
        <bgColor indexed="64"/>
      </patternFill>
    </fill>
    <fill>
      <patternFill patternType="solid">
        <fgColor indexed="55"/>
        <bgColor indexed="64"/>
      </patternFill>
    </fill>
    <fill>
      <patternFill patternType="solid">
        <fgColor indexed="13"/>
        <bgColor indexed="64"/>
      </patternFill>
    </fill>
    <fill>
      <patternFill patternType="solid">
        <fgColor indexed="34"/>
        <bgColor indexed="64"/>
      </patternFill>
    </fill>
    <fill>
      <patternFill patternType="solid">
        <fgColor indexed="44"/>
        <bgColor indexed="64"/>
      </patternFill>
    </fill>
    <fill>
      <patternFill patternType="solid">
        <fgColor indexed="43"/>
        <bgColor indexed="64"/>
      </patternFill>
    </fill>
    <fill>
      <patternFill patternType="solid">
        <fgColor indexed="40"/>
        <bgColor indexed="64"/>
      </patternFill>
    </fill>
    <fill>
      <patternFill patternType="solid">
        <fgColor indexed="26"/>
        <bgColor indexed="64"/>
      </patternFill>
    </fill>
    <fill>
      <patternFill patternType="solid">
        <fgColor indexed="15"/>
        <bgColor indexed="64"/>
      </patternFill>
    </fill>
    <fill>
      <patternFill patternType="solid">
        <fgColor indexed="26"/>
        <bgColor indexed="64"/>
      </patternFill>
    </fill>
    <fill>
      <patternFill patternType="solid">
        <fgColor indexed="35"/>
        <bgColor indexed="64"/>
      </patternFill>
    </fill>
    <fill>
      <patternFill patternType="solid">
        <fgColor indexed="48"/>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hair"/>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color indexed="63"/>
      </right>
      <top>
        <color indexed="63"/>
      </top>
      <bottom>
        <color indexed="63"/>
      </bottom>
    </border>
    <border>
      <left style="thin"/>
      <right>
        <color indexed="63"/>
      </right>
      <top style="thin"/>
      <bottom style="dashed"/>
    </border>
    <border>
      <left style="thin"/>
      <right style="thin"/>
      <top style="thin"/>
      <bottom style="dashed"/>
    </border>
    <border>
      <left style="thin"/>
      <right style="thin"/>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hair"/>
      <bottom style="thin"/>
    </border>
    <border>
      <left style="thin"/>
      <right style="thin"/>
      <top style="hair"/>
      <bottom style="thin"/>
    </border>
    <border>
      <left>
        <color indexed="63"/>
      </left>
      <right>
        <color indexed="63"/>
      </right>
      <top style="thin"/>
      <bottom style="thin"/>
    </border>
    <border>
      <left style="thin"/>
      <right style="thin"/>
      <top style="dashed"/>
      <bottom>
        <color indexed="63"/>
      </bottom>
    </border>
    <border>
      <left>
        <color indexed="63"/>
      </left>
      <right style="medium"/>
      <top>
        <color indexed="63"/>
      </top>
      <bottom>
        <color indexed="63"/>
      </bottom>
    </border>
    <border>
      <left style="medium"/>
      <right style="medium"/>
      <top>
        <color indexed="63"/>
      </top>
      <bottom style="medium"/>
    </border>
    <border>
      <left style="medium"/>
      <right style="medium"/>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color indexed="63"/>
      </left>
      <right style="thin"/>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0"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7" fillId="25" borderId="0" applyNumberFormat="0" applyBorder="0" applyAlignment="0" applyProtection="0"/>
    <xf numFmtId="0" fontId="78" fillId="26" borderId="1" applyNumberFormat="0" applyAlignment="0" applyProtection="0"/>
    <xf numFmtId="0" fontId="7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3" fillId="0" borderId="0" applyNumberFormat="0" applyFill="0" applyBorder="0" applyAlignment="0" applyProtection="0"/>
    <xf numFmtId="0" fontId="81" fillId="28"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4" fillId="0" borderId="0" applyNumberFormat="0" applyFill="0" applyBorder="0" applyAlignment="0" applyProtection="0"/>
    <xf numFmtId="0" fontId="85" fillId="29" borderId="1" applyNumberFormat="0" applyAlignment="0" applyProtection="0"/>
    <xf numFmtId="0" fontId="86" fillId="0" borderId="6" applyNumberFormat="0" applyFill="0" applyAlignment="0" applyProtection="0"/>
    <xf numFmtId="0" fontId="87" fillId="30" borderId="0" applyNumberFormat="0" applyBorder="0" applyAlignment="0" applyProtection="0"/>
    <xf numFmtId="0" fontId="0" fillId="31" borderId="7" applyNumberFormat="0" applyFont="0" applyAlignment="0" applyProtection="0"/>
    <xf numFmtId="0" fontId="88" fillId="26"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377">
    <xf numFmtId="0" fontId="0" fillId="0" borderId="0" xfId="0" applyAlignment="1">
      <alignment/>
    </xf>
    <xf numFmtId="0" fontId="6" fillId="32" borderId="0" xfId="0" applyFont="1" applyFill="1" applyAlignment="1" applyProtection="1">
      <alignment horizontal="center" vertical="center"/>
      <protection/>
    </xf>
    <xf numFmtId="0" fontId="6" fillId="32" borderId="0" xfId="0" applyFont="1" applyFill="1" applyBorder="1" applyAlignment="1" applyProtection="1">
      <alignment vertical="center"/>
      <protection/>
    </xf>
    <xf numFmtId="170" fontId="6" fillId="32" borderId="0" xfId="0" applyNumberFormat="1" applyFont="1" applyFill="1" applyBorder="1" applyAlignment="1" applyProtection="1">
      <alignment horizontal="left" vertical="center"/>
      <protection/>
    </xf>
    <xf numFmtId="11" fontId="6" fillId="32" borderId="0" xfId="0" applyNumberFormat="1" applyFont="1" applyFill="1" applyBorder="1" applyAlignment="1" applyProtection="1">
      <alignment horizontal="center" vertical="center"/>
      <protection/>
    </xf>
    <xf numFmtId="170" fontId="6" fillId="32" borderId="0" xfId="0" applyNumberFormat="1" applyFont="1" applyFill="1" applyBorder="1" applyAlignment="1" applyProtection="1">
      <alignment horizontal="center" vertical="center"/>
      <protection/>
    </xf>
    <xf numFmtId="0" fontId="6" fillId="32" borderId="0" xfId="0" applyFont="1" applyFill="1" applyAlignment="1" applyProtection="1">
      <alignment horizontal="left" vertical="center"/>
      <protection/>
    </xf>
    <xf numFmtId="0" fontId="6" fillId="32" borderId="0" xfId="0" applyFont="1" applyFill="1" applyBorder="1" applyAlignment="1" applyProtection="1">
      <alignment vertical="center"/>
      <protection/>
    </xf>
    <xf numFmtId="0" fontId="6" fillId="32" borderId="0" xfId="0" applyFont="1" applyFill="1" applyAlignment="1" applyProtection="1">
      <alignment vertical="center"/>
      <protection/>
    </xf>
    <xf numFmtId="2" fontId="13" fillId="32" borderId="0" xfId="0" applyNumberFormat="1" applyFont="1" applyFill="1" applyAlignment="1" applyProtection="1">
      <alignment vertical="center"/>
      <protection/>
    </xf>
    <xf numFmtId="0" fontId="6" fillId="32" borderId="0" xfId="0" applyFont="1" applyFill="1" applyAlignment="1" applyProtection="1">
      <alignment vertical="center"/>
      <protection/>
    </xf>
    <xf numFmtId="170" fontId="6" fillId="32" borderId="10" xfId="0" applyNumberFormat="1" applyFont="1" applyFill="1" applyBorder="1" applyAlignment="1" applyProtection="1">
      <alignment horizontal="center" vertical="center"/>
      <protection/>
    </xf>
    <xf numFmtId="11" fontId="6" fillId="32" borderId="10" xfId="0" applyNumberFormat="1" applyFont="1" applyFill="1" applyBorder="1" applyAlignment="1" applyProtection="1">
      <alignment horizontal="center" vertical="center"/>
      <protection/>
    </xf>
    <xf numFmtId="11" fontId="9" fillId="32" borderId="10" xfId="0" applyNumberFormat="1" applyFont="1" applyFill="1" applyBorder="1" applyAlignment="1" applyProtection="1">
      <alignment horizontal="center" vertical="center"/>
      <protection/>
    </xf>
    <xf numFmtId="172" fontId="6" fillId="32" borderId="10" xfId="0" applyNumberFormat="1" applyFont="1" applyFill="1" applyBorder="1" applyAlignment="1" applyProtection="1">
      <alignment horizontal="center" vertical="center"/>
      <protection/>
    </xf>
    <xf numFmtId="168" fontId="6" fillId="32" borderId="0" xfId="0" applyNumberFormat="1" applyFont="1" applyFill="1" applyBorder="1" applyAlignment="1" applyProtection="1">
      <alignment horizontal="center" vertical="center"/>
      <protection/>
    </xf>
    <xf numFmtId="2" fontId="0" fillId="32" borderId="0" xfId="0" applyNumberFormat="1" applyFont="1" applyFill="1" applyAlignment="1" applyProtection="1">
      <alignment horizontal="center" vertical="center"/>
      <protection/>
    </xf>
    <xf numFmtId="0" fontId="0" fillId="32" borderId="0" xfId="0" applyFont="1" applyFill="1" applyBorder="1" applyAlignment="1" applyProtection="1">
      <alignment horizontal="right" vertical="center"/>
      <protection/>
    </xf>
    <xf numFmtId="169" fontId="6" fillId="32" borderId="0" xfId="0" applyNumberFormat="1" applyFont="1" applyFill="1" applyBorder="1" applyAlignment="1" applyProtection="1">
      <alignment horizontal="center" vertical="center"/>
      <protection/>
    </xf>
    <xf numFmtId="0" fontId="6" fillId="32" borderId="0" xfId="0" applyFont="1" applyFill="1" applyBorder="1" applyAlignment="1" applyProtection="1">
      <alignment horizontal="left" vertical="center"/>
      <protection/>
    </xf>
    <xf numFmtId="0" fontId="6" fillId="32" borderId="0" xfId="0" applyFont="1" applyFill="1" applyBorder="1" applyAlignment="1" applyProtection="1">
      <alignment horizontal="center" vertical="center"/>
      <protection/>
    </xf>
    <xf numFmtId="2" fontId="6" fillId="32" borderId="11" xfId="0" applyNumberFormat="1" applyFont="1" applyFill="1" applyBorder="1" applyAlignment="1" applyProtection="1">
      <alignment horizontal="right" vertical="center"/>
      <protection/>
    </xf>
    <xf numFmtId="0" fontId="6" fillId="32" borderId="12" xfId="0" applyFont="1" applyFill="1" applyBorder="1" applyAlignment="1" applyProtection="1">
      <alignment vertical="center"/>
      <protection/>
    </xf>
    <xf numFmtId="2" fontId="6" fillId="32" borderId="13" xfId="0" applyNumberFormat="1" applyFont="1" applyFill="1" applyBorder="1" applyAlignment="1" applyProtection="1">
      <alignment horizontal="right" vertical="center"/>
      <protection/>
    </xf>
    <xf numFmtId="0" fontId="6" fillId="32" borderId="13" xfId="0" applyFont="1" applyFill="1" applyBorder="1" applyAlignment="1" applyProtection="1">
      <alignment horizontal="right" vertical="center"/>
      <protection/>
    </xf>
    <xf numFmtId="0" fontId="6" fillId="32" borderId="0" xfId="0" applyFont="1" applyFill="1" applyBorder="1" applyAlignment="1" applyProtection="1">
      <alignment horizontal="right" vertical="center"/>
      <protection/>
    </xf>
    <xf numFmtId="172" fontId="6" fillId="32" borderId="0" xfId="0" applyNumberFormat="1" applyFont="1" applyFill="1" applyBorder="1" applyAlignment="1" applyProtection="1">
      <alignment vertical="center"/>
      <protection/>
    </xf>
    <xf numFmtId="2" fontId="6" fillId="32" borderId="0" xfId="0" applyNumberFormat="1" applyFont="1" applyFill="1" applyBorder="1" applyAlignment="1" applyProtection="1">
      <alignment vertical="center"/>
      <protection/>
    </xf>
    <xf numFmtId="2" fontId="6" fillId="32" borderId="13" xfId="0" applyNumberFormat="1" applyFont="1" applyFill="1" applyBorder="1" applyAlignment="1" applyProtection="1">
      <alignment horizontal="center" vertical="center"/>
      <protection/>
    </xf>
    <xf numFmtId="0" fontId="6" fillId="32" borderId="0" xfId="0" applyFont="1" applyFill="1" applyAlignment="1" applyProtection="1">
      <alignment horizontal="right" vertical="center"/>
      <protection/>
    </xf>
    <xf numFmtId="0" fontId="0" fillId="32" borderId="0" xfId="0" applyFont="1" applyFill="1" applyBorder="1" applyAlignment="1" applyProtection="1">
      <alignment vertical="center"/>
      <protection/>
    </xf>
    <xf numFmtId="0" fontId="6" fillId="32" borderId="0" xfId="0" applyFont="1" applyFill="1" applyBorder="1" applyAlignment="1" applyProtection="1">
      <alignment horizontal="center" vertical="center" wrapText="1"/>
      <protection/>
    </xf>
    <xf numFmtId="0" fontId="0" fillId="0" borderId="0" xfId="0" applyAlignment="1">
      <alignment horizontal="center"/>
    </xf>
    <xf numFmtId="0" fontId="16" fillId="33" borderId="0" xfId="0" applyFont="1" applyFill="1" applyAlignment="1">
      <alignment horizontal="centerContinuous" vertical="center"/>
    </xf>
    <xf numFmtId="0" fontId="17" fillId="33" borderId="0" xfId="0" applyFont="1" applyFill="1" applyAlignment="1">
      <alignment horizontal="centerContinuous" vertical="center"/>
    </xf>
    <xf numFmtId="0" fontId="19" fillId="0" borderId="0" xfId="0" applyFont="1" applyAlignment="1">
      <alignment horizontal="center"/>
    </xf>
    <xf numFmtId="0" fontId="0" fillId="0" borderId="0" xfId="0" applyAlignment="1">
      <alignment horizontal="left"/>
    </xf>
    <xf numFmtId="0" fontId="0" fillId="0" borderId="0" xfId="0" applyAlignment="1" applyProtection="1">
      <alignment/>
      <protection/>
    </xf>
    <xf numFmtId="0" fontId="0" fillId="0" borderId="0" xfId="0" applyFill="1" applyBorder="1" applyAlignment="1" applyProtection="1">
      <alignment/>
      <protection/>
    </xf>
    <xf numFmtId="0" fontId="23" fillId="0" borderId="0" xfId="0" applyFont="1" applyFill="1" applyBorder="1" applyAlignment="1" applyProtection="1">
      <alignment horizontal="center" vertical="top"/>
      <protection/>
    </xf>
    <xf numFmtId="0" fontId="24" fillId="0" borderId="0" xfId="0" applyFont="1" applyBorder="1" applyAlignment="1" applyProtection="1">
      <alignment horizontal="center" vertical="top"/>
      <protection/>
    </xf>
    <xf numFmtId="0" fontId="24" fillId="0" borderId="0" xfId="0" applyFont="1" applyAlignment="1" applyProtection="1">
      <alignment horizontal="center" vertical="top"/>
      <protection/>
    </xf>
    <xf numFmtId="0" fontId="6" fillId="32" borderId="10" xfId="0" applyFont="1" applyFill="1" applyBorder="1" applyAlignment="1" applyProtection="1">
      <alignment horizontal="center" vertical="center"/>
      <protection/>
    </xf>
    <xf numFmtId="0" fontId="6" fillId="32" borderId="13" xfId="0" applyFont="1" applyFill="1" applyBorder="1" applyAlignment="1" applyProtection="1">
      <alignment vertical="center"/>
      <protection/>
    </xf>
    <xf numFmtId="0" fontId="6" fillId="32" borderId="14" xfId="0" applyFont="1" applyFill="1" applyBorder="1" applyAlignment="1" applyProtection="1">
      <alignment vertical="center"/>
      <protection/>
    </xf>
    <xf numFmtId="0" fontId="6" fillId="32" borderId="15" xfId="0" applyFont="1" applyFill="1" applyBorder="1" applyAlignment="1" applyProtection="1">
      <alignment horizontal="center" vertical="center"/>
      <protection/>
    </xf>
    <xf numFmtId="0" fontId="0" fillId="32" borderId="0" xfId="0" applyFont="1" applyFill="1" applyAlignment="1" applyProtection="1">
      <alignment vertical="center"/>
      <protection/>
    </xf>
    <xf numFmtId="0" fontId="0" fillId="32" borderId="0" xfId="0" applyFont="1" applyFill="1" applyAlignment="1" applyProtection="1">
      <alignment horizontal="left" vertical="center"/>
      <protection/>
    </xf>
    <xf numFmtId="170" fontId="0" fillId="32" borderId="0" xfId="0" applyNumberFormat="1" applyFont="1" applyFill="1" applyAlignment="1" applyProtection="1">
      <alignment horizontal="center" vertical="center"/>
      <protection/>
    </xf>
    <xf numFmtId="2" fontId="2" fillId="32" borderId="0" xfId="0" applyNumberFormat="1" applyFont="1" applyFill="1" applyAlignment="1" applyProtection="1">
      <alignment vertical="center"/>
      <protection/>
    </xf>
    <xf numFmtId="0" fontId="0" fillId="32" borderId="0" xfId="0" applyFont="1" applyFill="1" applyAlignment="1" applyProtection="1">
      <alignment vertical="center"/>
      <protection/>
    </xf>
    <xf numFmtId="0" fontId="0" fillId="32" borderId="0" xfId="0" applyFont="1" applyFill="1" applyAlignment="1" applyProtection="1">
      <alignment horizontal="center" vertical="center"/>
      <protection/>
    </xf>
    <xf numFmtId="2" fontId="28" fillId="32" borderId="0" xfId="0" applyNumberFormat="1" applyFont="1" applyFill="1" applyAlignment="1" applyProtection="1">
      <alignment horizontal="center" vertical="center"/>
      <protection/>
    </xf>
    <xf numFmtId="0" fontId="0" fillId="32" borderId="11" xfId="0" applyFont="1" applyFill="1" applyBorder="1" applyAlignment="1" applyProtection="1">
      <alignment vertical="center"/>
      <protection/>
    </xf>
    <xf numFmtId="0" fontId="0" fillId="32" borderId="12" xfId="0" applyFont="1" applyFill="1" applyBorder="1" applyAlignment="1" applyProtection="1">
      <alignment vertical="center"/>
      <protection/>
    </xf>
    <xf numFmtId="0" fontId="0" fillId="32" borderId="16" xfId="0" applyFont="1" applyFill="1" applyBorder="1" applyAlignment="1" applyProtection="1">
      <alignment vertical="center"/>
      <protection/>
    </xf>
    <xf numFmtId="2" fontId="13" fillId="32" borderId="0" xfId="0" applyNumberFormat="1" applyFont="1" applyFill="1" applyBorder="1" applyAlignment="1" applyProtection="1">
      <alignment horizontal="center" vertical="center"/>
      <protection/>
    </xf>
    <xf numFmtId="2" fontId="29" fillId="32" borderId="0" xfId="0" applyNumberFormat="1" applyFont="1" applyFill="1" applyBorder="1" applyAlignment="1" applyProtection="1">
      <alignment horizontal="center" vertical="center"/>
      <protection/>
    </xf>
    <xf numFmtId="0" fontId="0" fillId="32" borderId="13" xfId="0" applyFont="1" applyFill="1" applyBorder="1" applyAlignment="1" applyProtection="1">
      <alignment vertical="center"/>
      <protection/>
    </xf>
    <xf numFmtId="169" fontId="0" fillId="32" borderId="14" xfId="0" applyNumberFormat="1" applyFont="1" applyFill="1" applyBorder="1" applyAlignment="1" applyProtection="1">
      <alignment horizontal="center" vertical="center"/>
      <protection/>
    </xf>
    <xf numFmtId="0" fontId="0" fillId="32" borderId="14" xfId="0" applyFont="1" applyFill="1" applyBorder="1" applyAlignment="1" applyProtection="1">
      <alignment horizontal="center" vertical="center"/>
      <protection/>
    </xf>
    <xf numFmtId="0" fontId="11" fillId="32" borderId="0" xfId="0" applyFont="1" applyFill="1" applyBorder="1" applyAlignment="1" applyProtection="1">
      <alignment horizontal="right" vertical="center"/>
      <protection/>
    </xf>
    <xf numFmtId="0" fontId="31" fillId="32" borderId="0" xfId="0" applyNumberFormat="1" applyFont="1" applyFill="1" applyBorder="1" applyAlignment="1" applyProtection="1">
      <alignment horizontal="center" vertical="center"/>
      <protection/>
    </xf>
    <xf numFmtId="9" fontId="30" fillId="32" borderId="0" xfId="0" applyNumberFormat="1" applyFont="1" applyFill="1" applyBorder="1" applyAlignment="1" applyProtection="1">
      <alignment horizontal="center" vertical="center"/>
      <protection/>
    </xf>
    <xf numFmtId="0" fontId="6" fillId="32" borderId="13" xfId="0" applyFont="1" applyFill="1" applyBorder="1" applyAlignment="1" applyProtection="1">
      <alignment horizontal="center" vertical="center"/>
      <protection/>
    </xf>
    <xf numFmtId="0" fontId="6" fillId="32" borderId="0" xfId="0" applyFont="1" applyFill="1" applyAlignment="1" applyProtection="1">
      <alignment horizontal="center" vertical="center"/>
      <protection/>
    </xf>
    <xf numFmtId="0" fontId="0" fillId="32" borderId="0" xfId="0" applyFont="1" applyFill="1" applyAlignment="1" applyProtection="1">
      <alignment horizontal="center" vertical="center"/>
      <protection/>
    </xf>
    <xf numFmtId="0" fontId="0" fillId="32" borderId="0" xfId="0" applyFont="1" applyFill="1" applyBorder="1" applyAlignment="1" applyProtection="1">
      <alignment horizontal="center" vertical="center" wrapText="1"/>
      <protection/>
    </xf>
    <xf numFmtId="0" fontId="0" fillId="32" borderId="0" xfId="0" applyFont="1" applyFill="1" applyBorder="1" applyAlignment="1">
      <alignment horizontal="center" vertical="center"/>
    </xf>
    <xf numFmtId="0" fontId="20" fillId="32" borderId="0" xfId="0" applyFont="1" applyFill="1" applyBorder="1" applyAlignment="1" applyProtection="1">
      <alignment vertical="center"/>
      <protection/>
    </xf>
    <xf numFmtId="0" fontId="0" fillId="32" borderId="0" xfId="0" applyFont="1" applyFill="1" applyBorder="1" applyAlignment="1" applyProtection="1">
      <alignment horizontal="center" vertical="center" wrapText="1"/>
      <protection locked="0"/>
    </xf>
    <xf numFmtId="169" fontId="0" fillId="32" borderId="0" xfId="0" applyNumberFormat="1" applyFont="1" applyFill="1" applyBorder="1" applyAlignment="1" applyProtection="1">
      <alignment horizontal="center" vertical="center"/>
      <protection/>
    </xf>
    <xf numFmtId="0" fontId="6" fillId="32" borderId="15" xfId="0" applyFont="1" applyFill="1" applyBorder="1" applyAlignment="1" applyProtection="1">
      <alignment horizontal="left" vertical="center"/>
      <protection/>
    </xf>
    <xf numFmtId="0" fontId="6" fillId="32" borderId="17" xfId="0" applyFont="1" applyFill="1" applyBorder="1" applyAlignment="1" applyProtection="1">
      <alignment horizontal="left" vertical="center"/>
      <protection/>
    </xf>
    <xf numFmtId="0" fontId="6" fillId="32" borderId="18" xfId="0" applyFont="1" applyFill="1" applyBorder="1" applyAlignment="1" applyProtection="1">
      <alignment horizontal="left" vertical="center"/>
      <protection/>
    </xf>
    <xf numFmtId="0" fontId="0" fillId="32" borderId="0" xfId="0" applyNumberFormat="1" applyFont="1" applyFill="1" applyBorder="1" applyAlignment="1" applyProtection="1">
      <alignment horizontal="center" vertical="center"/>
      <protection/>
    </xf>
    <xf numFmtId="0" fontId="0" fillId="32" borderId="0" xfId="0" applyNumberFormat="1" applyFont="1" applyFill="1" applyBorder="1" applyAlignment="1" applyProtection="1">
      <alignment vertical="center"/>
      <protection/>
    </xf>
    <xf numFmtId="0" fontId="30" fillId="32" borderId="0" xfId="0" applyFont="1" applyFill="1" applyBorder="1" applyAlignment="1" applyProtection="1">
      <alignment vertical="center"/>
      <protection/>
    </xf>
    <xf numFmtId="2" fontId="13" fillId="32" borderId="0" xfId="0" applyNumberFormat="1" applyFont="1" applyFill="1" applyBorder="1" applyAlignment="1" applyProtection="1">
      <alignment vertical="center"/>
      <protection/>
    </xf>
    <xf numFmtId="9" fontId="31" fillId="32" borderId="0" xfId="0" applyNumberFormat="1" applyFont="1" applyFill="1" applyBorder="1" applyAlignment="1" applyProtection="1">
      <alignment horizontal="center" vertical="center"/>
      <protection/>
    </xf>
    <xf numFmtId="2" fontId="32" fillId="32" borderId="0" xfId="0" applyNumberFormat="1" applyFont="1" applyFill="1" applyBorder="1" applyAlignment="1" applyProtection="1">
      <alignment horizontal="center" vertical="center"/>
      <protection/>
    </xf>
    <xf numFmtId="0" fontId="6" fillId="32" borderId="0" xfId="0" applyFont="1" applyFill="1" applyBorder="1" applyAlignment="1" applyProtection="1">
      <alignment horizontal="right" vertical="center"/>
      <protection/>
    </xf>
    <xf numFmtId="170" fontId="0" fillId="32" borderId="0" xfId="0" applyNumberFormat="1" applyFont="1" applyFill="1" applyBorder="1" applyAlignment="1" applyProtection="1">
      <alignment horizontal="center" vertical="center"/>
      <protection/>
    </xf>
    <xf numFmtId="2" fontId="2" fillId="32" borderId="0" xfId="0" applyNumberFormat="1" applyFont="1" applyFill="1" applyBorder="1" applyAlignment="1" applyProtection="1">
      <alignment vertical="center"/>
      <protection/>
    </xf>
    <xf numFmtId="0" fontId="0" fillId="32" borderId="19" xfId="0" applyFill="1" applyBorder="1" applyAlignment="1" applyProtection="1">
      <alignment vertical="center"/>
      <protection/>
    </xf>
    <xf numFmtId="0" fontId="25" fillId="34" borderId="10" xfId="0" applyFont="1" applyFill="1" applyBorder="1" applyAlignment="1" applyProtection="1">
      <alignment horizontal="center" vertical="center" wrapText="1"/>
      <protection/>
    </xf>
    <xf numFmtId="0" fontId="33" fillId="32" borderId="20" xfId="0" applyFont="1" applyFill="1" applyBorder="1" applyAlignment="1" applyProtection="1">
      <alignment horizontal="left" vertical="center"/>
      <protection/>
    </xf>
    <xf numFmtId="0" fontId="20" fillId="32" borderId="19" xfId="0" applyFont="1" applyFill="1" applyBorder="1" applyAlignment="1" applyProtection="1">
      <alignment vertical="center"/>
      <protection/>
    </xf>
    <xf numFmtId="0" fontId="20" fillId="32" borderId="20" xfId="0" applyFont="1" applyFill="1" applyBorder="1" applyAlignment="1" applyProtection="1">
      <alignment vertical="center"/>
      <protection/>
    </xf>
    <xf numFmtId="9" fontId="22" fillId="32" borderId="11" xfId="0" applyNumberFormat="1" applyFont="1" applyFill="1" applyBorder="1" applyAlignment="1" applyProtection="1">
      <alignment horizontal="center" vertical="center"/>
      <protection/>
    </xf>
    <xf numFmtId="9" fontId="22" fillId="32" borderId="15" xfId="0" applyNumberFormat="1" applyFont="1" applyFill="1" applyBorder="1" applyAlignment="1" applyProtection="1">
      <alignment horizontal="center" vertical="center"/>
      <protection/>
    </xf>
    <xf numFmtId="9" fontId="22" fillId="32" borderId="13" xfId="0" applyNumberFormat="1" applyFont="1" applyFill="1" applyBorder="1" applyAlignment="1" applyProtection="1">
      <alignment horizontal="center" vertical="center"/>
      <protection/>
    </xf>
    <xf numFmtId="9" fontId="22" fillId="32" borderId="17" xfId="0" applyNumberFormat="1" applyFont="1" applyFill="1" applyBorder="1" applyAlignment="1" applyProtection="1">
      <alignment horizontal="center" vertical="center"/>
      <protection/>
    </xf>
    <xf numFmtId="0" fontId="35" fillId="0" borderId="0" xfId="0" applyFont="1" applyAlignment="1" applyProtection="1">
      <alignment/>
      <protection/>
    </xf>
    <xf numFmtId="0" fontId="36" fillId="32" borderId="0" xfId="0" applyFont="1" applyFill="1" applyBorder="1" applyAlignment="1" applyProtection="1">
      <alignment vertical="center"/>
      <protection/>
    </xf>
    <xf numFmtId="0" fontId="15" fillId="4" borderId="19" xfId="0" applyNumberFormat="1" applyFont="1" applyFill="1" applyBorder="1" applyAlignment="1" applyProtection="1">
      <alignment horizontal="center" vertical="center"/>
      <protection locked="0"/>
    </xf>
    <xf numFmtId="0" fontId="0" fillId="0" borderId="17" xfId="0" applyBorder="1" applyAlignment="1" applyProtection="1">
      <alignment/>
      <protection/>
    </xf>
    <xf numFmtId="0" fontId="0" fillId="0" borderId="18" xfId="0" applyBorder="1" applyAlignment="1" applyProtection="1">
      <alignment/>
      <protection/>
    </xf>
    <xf numFmtId="0" fontId="6" fillId="32" borderId="19" xfId="0" applyFont="1" applyFill="1" applyBorder="1" applyAlignment="1" applyProtection="1">
      <alignment horizontal="center" vertical="center"/>
      <protection/>
    </xf>
    <xf numFmtId="0" fontId="0" fillId="0" borderId="13" xfId="0" applyBorder="1" applyAlignment="1" applyProtection="1">
      <alignment/>
      <protection/>
    </xf>
    <xf numFmtId="0" fontId="0" fillId="0" borderId="21" xfId="0" applyBorder="1" applyAlignment="1" applyProtection="1">
      <alignment/>
      <protection/>
    </xf>
    <xf numFmtId="0" fontId="0" fillId="0" borderId="20" xfId="0" applyBorder="1" applyAlignment="1" applyProtection="1">
      <alignment/>
      <protection/>
    </xf>
    <xf numFmtId="0" fontId="0" fillId="0" borderId="0" xfId="0" applyAlignment="1" applyProtection="1">
      <alignment horizontal="center"/>
      <protection/>
    </xf>
    <xf numFmtId="185" fontId="9" fillId="32" borderId="10" xfId="0" applyNumberFormat="1" applyFont="1" applyFill="1" applyBorder="1" applyAlignment="1" applyProtection="1">
      <alignment horizontal="center" vertical="center"/>
      <protection/>
    </xf>
    <xf numFmtId="185" fontId="6" fillId="32" borderId="10" xfId="0" applyNumberFormat="1" applyFont="1" applyFill="1" applyBorder="1" applyAlignment="1" applyProtection="1">
      <alignment horizontal="center" vertical="center"/>
      <protection/>
    </xf>
    <xf numFmtId="0" fontId="0" fillId="0" borderId="14"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0" xfId="0" applyBorder="1" applyAlignment="1">
      <alignment vertical="center"/>
    </xf>
    <xf numFmtId="2" fontId="6" fillId="32" borderId="0" xfId="0" applyNumberFormat="1" applyFont="1" applyFill="1" applyBorder="1" applyAlignment="1" applyProtection="1">
      <alignment horizontal="center" vertical="center"/>
      <protection/>
    </xf>
    <xf numFmtId="170" fontId="6" fillId="32" borderId="15" xfId="0" applyNumberFormat="1" applyFont="1" applyFill="1" applyBorder="1" applyAlignment="1" applyProtection="1">
      <alignment horizontal="center" vertical="center"/>
      <protection/>
    </xf>
    <xf numFmtId="170" fontId="5" fillId="32" borderId="10" xfId="0" applyNumberFormat="1" applyFont="1" applyFill="1" applyBorder="1" applyAlignment="1" applyProtection="1">
      <alignment horizontal="center" vertical="center"/>
      <protection/>
    </xf>
    <xf numFmtId="0" fontId="0" fillId="32" borderId="10" xfId="0" applyFont="1" applyFill="1" applyBorder="1" applyAlignment="1" applyProtection="1">
      <alignment horizontal="center" vertical="center"/>
      <protection/>
    </xf>
    <xf numFmtId="0" fontId="5" fillId="32" borderId="10" xfId="0" applyFont="1" applyFill="1" applyBorder="1" applyAlignment="1" applyProtection="1">
      <alignment horizontal="center" vertical="center"/>
      <protection/>
    </xf>
    <xf numFmtId="2" fontId="6" fillId="32" borderId="10" xfId="0" applyNumberFormat="1" applyFont="1" applyFill="1" applyBorder="1" applyAlignment="1" applyProtection="1">
      <alignment horizontal="center" vertical="center"/>
      <protection/>
    </xf>
    <xf numFmtId="0" fontId="6" fillId="32" borderId="12" xfId="0" applyFont="1" applyFill="1" applyBorder="1" applyAlignment="1" applyProtection="1">
      <alignment horizontal="right" vertical="center"/>
      <protection/>
    </xf>
    <xf numFmtId="0" fontId="0" fillId="0" borderId="0" xfId="0" applyBorder="1" applyAlignment="1">
      <alignment vertical="center" wrapText="1"/>
    </xf>
    <xf numFmtId="168" fontId="0" fillId="0" borderId="14" xfId="0" applyNumberFormat="1" applyFont="1" applyFill="1" applyBorder="1" applyAlignment="1" applyProtection="1">
      <alignment horizontal="center" vertical="center"/>
      <protection/>
    </xf>
    <xf numFmtId="0" fontId="0" fillId="32" borderId="19" xfId="0" applyFill="1" applyBorder="1" applyAlignment="1" applyProtection="1">
      <alignment vertical="center" wrapText="1"/>
      <protection/>
    </xf>
    <xf numFmtId="0" fontId="12" fillId="32" borderId="10" xfId="0" applyFont="1" applyFill="1" applyBorder="1" applyAlignment="1" applyProtection="1">
      <alignment horizontal="center" vertical="center"/>
      <protection/>
    </xf>
    <xf numFmtId="170" fontId="5" fillId="0" borderId="10" xfId="0" applyNumberFormat="1" applyFont="1" applyFill="1" applyBorder="1" applyAlignment="1" applyProtection="1">
      <alignment horizontal="center" vertical="center"/>
      <protection/>
    </xf>
    <xf numFmtId="169" fontId="6" fillId="32" borderId="10" xfId="0" applyNumberFormat="1" applyFont="1" applyFill="1" applyBorder="1" applyAlignment="1" applyProtection="1">
      <alignment horizontal="center" vertical="center"/>
      <protection/>
    </xf>
    <xf numFmtId="0" fontId="6" fillId="32" borderId="16" xfId="0" applyFont="1" applyFill="1" applyBorder="1" applyAlignment="1" applyProtection="1">
      <alignment vertical="center"/>
      <protection/>
    </xf>
    <xf numFmtId="0" fontId="25" fillId="34" borderId="16" xfId="0" applyFont="1" applyFill="1" applyBorder="1" applyAlignment="1" applyProtection="1">
      <alignment horizontal="center" vertical="center" wrapText="1"/>
      <protection/>
    </xf>
    <xf numFmtId="2" fontId="15" fillId="4" borderId="10" xfId="0" applyNumberFormat="1"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0" fillId="0" borderId="11" xfId="0" applyFont="1" applyFill="1" applyBorder="1" applyAlignment="1" applyProtection="1">
      <alignment vertical="center" wrapText="1"/>
      <protection/>
    </xf>
    <xf numFmtId="0" fontId="20" fillId="0" borderId="12" xfId="0" applyFont="1" applyFill="1" applyBorder="1" applyAlignment="1" applyProtection="1">
      <alignment vertical="center" wrapText="1"/>
      <protection/>
    </xf>
    <xf numFmtId="0" fontId="0" fillId="32" borderId="0" xfId="0" applyFont="1" applyFill="1" applyAlignment="1">
      <alignment vertical="center"/>
    </xf>
    <xf numFmtId="0" fontId="0" fillId="32" borderId="0" xfId="0" applyFill="1" applyBorder="1" applyAlignment="1">
      <alignment vertical="center"/>
    </xf>
    <xf numFmtId="0" fontId="0" fillId="0" borderId="0" xfId="0" applyFont="1" applyFill="1" applyBorder="1" applyAlignment="1">
      <alignment vertical="center" wrapText="1"/>
    </xf>
    <xf numFmtId="0" fontId="26" fillId="32" borderId="0" xfId="0" applyFont="1" applyFill="1" applyBorder="1" applyAlignment="1" applyProtection="1">
      <alignment horizontal="right" vertical="center"/>
      <protection/>
    </xf>
    <xf numFmtId="169" fontId="0" fillId="32" borderId="0" xfId="0" applyNumberFormat="1" applyFont="1" applyFill="1" applyBorder="1" applyAlignment="1" applyProtection="1">
      <alignment horizontal="left" vertical="center"/>
      <protection/>
    </xf>
    <xf numFmtId="9" fontId="6" fillId="32" borderId="0" xfId="0" applyNumberFormat="1" applyFont="1" applyFill="1" applyBorder="1" applyAlignment="1" applyProtection="1">
      <alignment horizontal="left" vertical="center"/>
      <protection/>
    </xf>
    <xf numFmtId="170" fontId="6" fillId="32" borderId="0" xfId="0" applyNumberFormat="1" applyFont="1" applyFill="1" applyBorder="1" applyAlignment="1" applyProtection="1">
      <alignment vertical="center"/>
      <protection/>
    </xf>
    <xf numFmtId="0" fontId="0" fillId="0" borderId="0" xfId="0" applyFont="1" applyFill="1" applyBorder="1" applyAlignment="1" applyProtection="1">
      <alignment horizontal="center" vertical="center" wrapText="1"/>
      <protection locked="0"/>
    </xf>
    <xf numFmtId="178" fontId="6" fillId="32" borderId="15" xfId="0" applyNumberFormat="1" applyFont="1" applyFill="1" applyBorder="1" applyAlignment="1" applyProtection="1">
      <alignment horizontal="center" vertical="center"/>
      <protection/>
    </xf>
    <xf numFmtId="0" fontId="0" fillId="32" borderId="21" xfId="0" applyFont="1" applyFill="1" applyBorder="1" applyAlignment="1" applyProtection="1">
      <alignment vertical="center"/>
      <protection/>
    </xf>
    <xf numFmtId="0" fontId="0" fillId="32" borderId="22" xfId="0" applyFont="1" applyFill="1" applyBorder="1" applyAlignment="1" applyProtection="1">
      <alignment horizontal="right" vertical="center"/>
      <protection/>
    </xf>
    <xf numFmtId="168" fontId="0" fillId="0" borderId="23" xfId="0" applyNumberFormat="1" applyFont="1" applyFill="1" applyBorder="1" applyAlignment="1" applyProtection="1">
      <alignment horizontal="center" vertical="center"/>
      <protection/>
    </xf>
    <xf numFmtId="179" fontId="6" fillId="32" borderId="10" xfId="0" applyNumberFormat="1" applyFont="1" applyFill="1" applyBorder="1" applyAlignment="1" applyProtection="1">
      <alignment horizontal="center" vertical="center"/>
      <protection/>
    </xf>
    <xf numFmtId="170" fontId="0" fillId="32" borderId="10" xfId="0" applyNumberFormat="1" applyFont="1" applyFill="1" applyBorder="1" applyAlignment="1" applyProtection="1">
      <alignment horizontal="center" vertical="center"/>
      <protection/>
    </xf>
    <xf numFmtId="0" fontId="39" fillId="32" borderId="0" xfId="0" applyFont="1" applyFill="1" applyBorder="1" applyAlignment="1" applyProtection="1">
      <alignment horizontal="left" vertical="center"/>
      <protection/>
    </xf>
    <xf numFmtId="0" fontId="9" fillId="32" borderId="24" xfId="0" applyFont="1" applyFill="1" applyBorder="1" applyAlignment="1" applyProtection="1">
      <alignment horizontal="center" vertical="center"/>
      <protection/>
    </xf>
    <xf numFmtId="0" fontId="0" fillId="0" borderId="0" xfId="0" applyAlignment="1">
      <alignment horizontal="center" vertical="center" wrapText="1"/>
    </xf>
    <xf numFmtId="0" fontId="6" fillId="32" borderId="19" xfId="0" applyFont="1" applyFill="1" applyBorder="1" applyAlignment="1" applyProtection="1">
      <alignment vertical="center"/>
      <protection/>
    </xf>
    <xf numFmtId="0" fontId="20" fillId="0" borderId="0" xfId="0" applyFont="1" applyAlignment="1">
      <alignment horizontal="center"/>
    </xf>
    <xf numFmtId="0" fontId="21" fillId="34" borderId="25" xfId="0" applyFont="1" applyFill="1" applyBorder="1" applyAlignment="1" applyProtection="1">
      <alignment horizontal="center" vertical="center" wrapText="1"/>
      <protection/>
    </xf>
    <xf numFmtId="0" fontId="21" fillId="34" borderId="26" xfId="0" applyFont="1" applyFill="1" applyBorder="1" applyAlignment="1" applyProtection="1">
      <alignment horizontal="center" vertical="center" wrapText="1"/>
      <protection/>
    </xf>
    <xf numFmtId="0" fontId="21" fillId="34" borderId="10" xfId="0" applyFont="1" applyFill="1" applyBorder="1" applyAlignment="1" applyProtection="1">
      <alignment horizontal="center" vertical="center" wrapText="1"/>
      <protection/>
    </xf>
    <xf numFmtId="0" fontId="0" fillId="4" borderId="27" xfId="0" applyFill="1" applyBorder="1" applyAlignment="1" applyProtection="1">
      <alignment horizontal="center" vertical="center"/>
      <protection locked="0"/>
    </xf>
    <xf numFmtId="0" fontId="0" fillId="4" borderId="28" xfId="0" applyFill="1" applyBorder="1" applyAlignment="1" applyProtection="1">
      <alignment horizontal="center" vertical="center"/>
      <protection locked="0"/>
    </xf>
    <xf numFmtId="0" fontId="8" fillId="0" borderId="29" xfId="0" applyFont="1" applyFill="1" applyBorder="1" applyAlignment="1" applyProtection="1">
      <alignment horizontal="center" vertical="center" wrapText="1"/>
      <protection/>
    </xf>
    <xf numFmtId="0" fontId="6" fillId="0" borderId="0" xfId="0" applyFont="1" applyFill="1" applyBorder="1" applyAlignment="1" applyProtection="1">
      <alignment vertical="center"/>
      <protection/>
    </xf>
    <xf numFmtId="0" fontId="0" fillId="0" borderId="0" xfId="0" applyFill="1" applyBorder="1" applyAlignment="1">
      <alignment vertical="center" wrapText="1"/>
    </xf>
    <xf numFmtId="0" fontId="6" fillId="0" borderId="0" xfId="0" applyFont="1" applyFill="1" applyBorder="1" applyAlignment="1" applyProtection="1">
      <alignment horizontal="center" vertical="center" wrapText="1"/>
      <protection/>
    </xf>
    <xf numFmtId="0" fontId="0" fillId="0" borderId="0" xfId="0" applyFont="1" applyFill="1" applyBorder="1" applyAlignment="1">
      <alignment horizontal="center" vertical="center"/>
    </xf>
    <xf numFmtId="0" fontId="6" fillId="0" borderId="0"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vertical="center" wrapText="1"/>
      <protection/>
    </xf>
    <xf numFmtId="0" fontId="9" fillId="32" borderId="32" xfId="0" applyFont="1" applyFill="1" applyBorder="1" applyAlignment="1" applyProtection="1">
      <alignment horizontal="center" vertical="center"/>
      <protection/>
    </xf>
    <xf numFmtId="0" fontId="20" fillId="0" borderId="10" xfId="0" applyFont="1" applyFill="1" applyBorder="1" applyAlignment="1" applyProtection="1">
      <alignment horizontal="center" vertical="center" wrapText="1"/>
      <protection/>
    </xf>
    <xf numFmtId="0" fontId="0" fillId="0" borderId="0" xfId="0" applyFont="1" applyFill="1" applyBorder="1" applyAlignment="1" applyProtection="1">
      <alignment vertical="center"/>
      <protection/>
    </xf>
    <xf numFmtId="0" fontId="6" fillId="32" borderId="13" xfId="0" applyFont="1" applyFill="1" applyBorder="1" applyAlignment="1" applyProtection="1">
      <alignment horizontal="center" vertical="center" wrapText="1"/>
      <protection/>
    </xf>
    <xf numFmtId="0" fontId="6" fillId="32" borderId="24" xfId="0" applyFont="1" applyFill="1" applyBorder="1" applyAlignment="1" applyProtection="1">
      <alignment horizontal="center" vertical="center" wrapText="1"/>
      <protection/>
    </xf>
    <xf numFmtId="0" fontId="6" fillId="32" borderId="32" xfId="0" applyFont="1" applyFill="1" applyBorder="1" applyAlignment="1" applyProtection="1">
      <alignment horizontal="center" vertical="center" wrapText="1"/>
      <protection/>
    </xf>
    <xf numFmtId="0" fontId="0" fillId="33" borderId="0" xfId="0" applyFill="1" applyAlignment="1">
      <alignment horizontal="center" vertical="center" wrapText="1"/>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185" fontId="6" fillId="32" borderId="0" xfId="0" applyNumberFormat="1" applyFont="1" applyFill="1" applyBorder="1" applyAlignment="1" applyProtection="1">
      <alignment horizontal="center" vertical="center"/>
      <protection/>
    </xf>
    <xf numFmtId="185" fontId="9" fillId="32" borderId="0" xfId="0" applyNumberFormat="1" applyFont="1" applyFill="1" applyBorder="1" applyAlignment="1" applyProtection="1">
      <alignment horizontal="center" vertical="center"/>
      <protection/>
    </xf>
    <xf numFmtId="170" fontId="6" fillId="32" borderId="0" xfId="0" applyNumberFormat="1" applyFont="1" applyFill="1" applyBorder="1" applyAlignment="1" applyProtection="1">
      <alignment horizontal="center" vertical="center"/>
      <protection/>
    </xf>
    <xf numFmtId="0" fontId="6" fillId="32" borderId="18" xfId="0" applyFont="1" applyFill="1" applyBorder="1" applyAlignment="1" applyProtection="1">
      <alignment vertical="center"/>
      <protection/>
    </xf>
    <xf numFmtId="192" fontId="15" fillId="35" borderId="10" xfId="0" applyNumberFormat="1" applyFont="1" applyFill="1" applyBorder="1" applyAlignment="1" applyProtection="1">
      <alignment horizontal="center" vertical="center"/>
      <protection/>
    </xf>
    <xf numFmtId="169" fontId="6" fillId="0" borderId="0"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right" vertical="center"/>
      <protection/>
    </xf>
    <xf numFmtId="2" fontId="6"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right" vertical="center"/>
      <protection/>
    </xf>
    <xf numFmtId="0" fontId="5" fillId="0" borderId="0" xfId="0" applyFont="1" applyFill="1" applyBorder="1" applyAlignment="1" applyProtection="1">
      <alignment horizontal="center" vertical="center"/>
      <protection/>
    </xf>
    <xf numFmtId="170" fontId="6" fillId="0" borderId="0" xfId="0" applyNumberFormat="1"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0" fillId="0" borderId="0" xfId="0" applyFont="1" applyFill="1" applyBorder="1" applyAlignment="1">
      <alignment vertical="center"/>
    </xf>
    <xf numFmtId="185" fontId="9" fillId="0" borderId="0" xfId="0" applyNumberFormat="1" applyFont="1" applyFill="1" applyBorder="1" applyAlignment="1" applyProtection="1">
      <alignment horizontal="center" vertical="center"/>
      <protection/>
    </xf>
    <xf numFmtId="170" fontId="0" fillId="0" borderId="0" xfId="0" applyNumberFormat="1" applyFont="1" applyFill="1" applyBorder="1" applyAlignment="1" applyProtection="1">
      <alignment horizontal="center" vertical="center"/>
      <protection/>
    </xf>
    <xf numFmtId="170" fontId="5" fillId="0" borderId="0" xfId="0" applyNumberFormat="1" applyFont="1" applyFill="1" applyBorder="1" applyAlignment="1" applyProtection="1">
      <alignment horizontal="center" vertical="center"/>
      <protection/>
    </xf>
    <xf numFmtId="178" fontId="6" fillId="0" borderId="0" xfId="0" applyNumberFormat="1" applyFont="1" applyFill="1" applyBorder="1" applyAlignment="1" applyProtection="1">
      <alignment horizontal="center" vertical="center"/>
      <protection/>
    </xf>
    <xf numFmtId="170" fontId="5" fillId="0" borderId="0" xfId="0" applyNumberFormat="1" applyFont="1" applyFill="1" applyBorder="1" applyAlignment="1" applyProtection="1">
      <alignment horizontal="center" vertical="center"/>
      <protection/>
    </xf>
    <xf numFmtId="11" fontId="6" fillId="0" borderId="0" xfId="0" applyNumberFormat="1" applyFont="1" applyFill="1" applyBorder="1" applyAlignment="1" applyProtection="1">
      <alignment horizontal="center" vertical="center"/>
      <protection/>
    </xf>
    <xf numFmtId="11" fontId="9" fillId="0" borderId="0" xfId="0" applyNumberFormat="1" applyFont="1" applyFill="1" applyBorder="1" applyAlignment="1" applyProtection="1">
      <alignment horizontal="center" vertical="center"/>
      <protection/>
    </xf>
    <xf numFmtId="9" fontId="6" fillId="32" borderId="0" xfId="0" applyNumberFormat="1" applyFont="1" applyFill="1" applyBorder="1" applyAlignment="1" applyProtection="1">
      <alignment horizontal="center" vertical="center"/>
      <protection/>
    </xf>
    <xf numFmtId="0" fontId="40" fillId="0" borderId="33" xfId="0" applyFont="1" applyFill="1" applyBorder="1" applyAlignment="1" applyProtection="1">
      <alignment horizontal="center" vertical="center" wrapText="1"/>
      <protection/>
    </xf>
    <xf numFmtId="0" fontId="40" fillId="0" borderId="34" xfId="0" applyFont="1" applyFill="1" applyBorder="1" applyAlignment="1" applyProtection="1">
      <alignment horizontal="center" vertical="center" wrapText="1"/>
      <protection/>
    </xf>
    <xf numFmtId="0" fontId="40" fillId="0" borderId="35" xfId="0" applyFont="1" applyFill="1" applyBorder="1" applyAlignment="1" applyProtection="1">
      <alignment horizontal="center" vertical="center" wrapText="1"/>
      <protection/>
    </xf>
    <xf numFmtId="0" fontId="11" fillId="32" borderId="36" xfId="0" applyFont="1" applyFill="1" applyBorder="1" applyAlignment="1" applyProtection="1">
      <alignment horizontal="center" vertical="center"/>
      <protection/>
    </xf>
    <xf numFmtId="0" fontId="11" fillId="32" borderId="37" xfId="0" applyFont="1" applyFill="1" applyBorder="1" applyAlignment="1" applyProtection="1">
      <alignment horizontal="center" vertical="center"/>
      <protection/>
    </xf>
    <xf numFmtId="0" fontId="0" fillId="0" borderId="23" xfId="0" applyBorder="1" applyAlignment="1">
      <alignment vertical="center" wrapText="1"/>
    </xf>
    <xf numFmtId="0" fontId="0" fillId="0" borderId="0" xfId="0" applyFont="1" applyFill="1" applyBorder="1" applyAlignment="1" applyProtection="1">
      <alignment horizontal="left" vertical="center"/>
      <protection/>
    </xf>
    <xf numFmtId="170" fontId="6" fillId="32" borderId="38" xfId="0" applyNumberFormat="1" applyFont="1" applyFill="1" applyBorder="1" applyAlignment="1" applyProtection="1">
      <alignment horizontal="center" vertical="center"/>
      <protection/>
    </xf>
    <xf numFmtId="0" fontId="0" fillId="0" borderId="0" xfId="0" applyAlignment="1">
      <alignment wrapText="1"/>
    </xf>
    <xf numFmtId="169" fontId="7" fillId="4" borderId="10" xfId="0" applyNumberFormat="1" applyFont="1" applyFill="1" applyBorder="1" applyAlignment="1" applyProtection="1">
      <alignment horizontal="center" vertical="center"/>
      <protection locked="0"/>
    </xf>
    <xf numFmtId="0" fontId="42" fillId="0" borderId="0" xfId="0" applyFont="1" applyAlignment="1">
      <alignment/>
    </xf>
    <xf numFmtId="0" fontId="0" fillId="0" borderId="0" xfId="0" applyFont="1" applyAlignment="1">
      <alignment/>
    </xf>
    <xf numFmtId="0" fontId="35"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xf>
    <xf numFmtId="0" fontId="0" fillId="0" borderId="0" xfId="0" applyBorder="1" applyAlignment="1">
      <alignment/>
    </xf>
    <xf numFmtId="0" fontId="0" fillId="0" borderId="0" xfId="0" applyFont="1" applyFill="1" applyBorder="1" applyAlignment="1">
      <alignment/>
    </xf>
    <xf numFmtId="0" fontId="0" fillId="0" borderId="0" xfId="0" applyFont="1" applyBorder="1" applyAlignment="1">
      <alignment/>
    </xf>
    <xf numFmtId="170" fontId="7" fillId="0" borderId="0" xfId="0" applyNumberFormat="1" applyFont="1" applyFill="1" applyBorder="1" applyAlignment="1" applyProtection="1">
      <alignment horizontal="center" vertical="center"/>
      <protection locked="0"/>
    </xf>
    <xf numFmtId="0" fontId="20" fillId="0" borderId="0" xfId="0" applyFont="1" applyFill="1" applyBorder="1" applyAlignment="1" applyProtection="1">
      <alignment vertical="center" wrapText="1"/>
      <protection/>
    </xf>
    <xf numFmtId="0" fontId="0" fillId="0" borderId="0" xfId="0" applyFill="1" applyBorder="1" applyAlignment="1">
      <alignment wrapText="1"/>
    </xf>
    <xf numFmtId="0" fontId="40" fillId="0" borderId="10" xfId="0" applyFont="1" applyFill="1" applyBorder="1" applyAlignment="1" applyProtection="1">
      <alignment horizontal="center" vertical="center" wrapText="1"/>
      <protection/>
    </xf>
    <xf numFmtId="0" fontId="6" fillId="32" borderId="0" xfId="0" applyFont="1" applyFill="1" applyBorder="1" applyAlignment="1" applyProtection="1">
      <alignment/>
      <protection/>
    </xf>
    <xf numFmtId="0" fontId="0" fillId="36" borderId="10" xfId="0" applyFill="1" applyBorder="1" applyAlignment="1">
      <alignment/>
    </xf>
    <xf numFmtId="169" fontId="0" fillId="36" borderId="10" xfId="0" applyNumberFormat="1" applyFill="1" applyBorder="1" applyAlignment="1">
      <alignment horizontal="center"/>
    </xf>
    <xf numFmtId="0" fontId="0" fillId="4" borderId="10" xfId="0" applyFill="1" applyBorder="1" applyAlignment="1" applyProtection="1">
      <alignment vertical="center" wrapText="1"/>
      <protection/>
    </xf>
    <xf numFmtId="0" fontId="0" fillId="37" borderId="10" xfId="0" applyFill="1" applyBorder="1" applyAlignment="1">
      <alignment horizontal="left" indent="3"/>
    </xf>
    <xf numFmtId="169" fontId="7" fillId="37" borderId="10" xfId="0" applyNumberFormat="1" applyFont="1" applyFill="1" applyBorder="1" applyAlignment="1" applyProtection="1">
      <alignment horizontal="center" vertical="center"/>
      <protection locked="0"/>
    </xf>
    <xf numFmtId="0" fontId="0" fillId="0" borderId="12" xfId="0" applyBorder="1" applyAlignment="1">
      <alignment/>
    </xf>
    <xf numFmtId="0" fontId="0" fillId="0" borderId="16" xfId="0" applyBorder="1" applyAlignment="1">
      <alignment/>
    </xf>
    <xf numFmtId="0" fontId="0" fillId="0" borderId="22" xfId="0" applyBorder="1" applyAlignment="1">
      <alignment/>
    </xf>
    <xf numFmtId="0" fontId="0" fillId="0" borderId="23" xfId="0" applyBorder="1" applyAlignment="1">
      <alignment/>
    </xf>
    <xf numFmtId="169" fontId="0" fillId="0" borderId="10" xfId="0" applyNumberFormat="1" applyBorder="1" applyAlignment="1">
      <alignment/>
    </xf>
    <xf numFmtId="0" fontId="0" fillId="0" borderId="10" xfId="0" applyBorder="1" applyAlignment="1">
      <alignment/>
    </xf>
    <xf numFmtId="0" fontId="0" fillId="0" borderId="18" xfId="0" applyFill="1" applyBorder="1" applyAlignment="1">
      <alignment/>
    </xf>
    <xf numFmtId="0" fontId="0" fillId="0" borderId="10" xfId="0" applyFill="1" applyBorder="1" applyAlignment="1">
      <alignment/>
    </xf>
    <xf numFmtId="0" fontId="0" fillId="38" borderId="10" xfId="0" applyFill="1" applyBorder="1" applyAlignment="1">
      <alignment/>
    </xf>
    <xf numFmtId="169" fontId="7" fillId="38" borderId="10" xfId="0" applyNumberFormat="1" applyFont="1" applyFill="1" applyBorder="1" applyAlignment="1" applyProtection="1">
      <alignment horizontal="center" vertical="center"/>
      <protection locked="0"/>
    </xf>
    <xf numFmtId="0" fontId="0" fillId="39" borderId="10" xfId="0" applyFill="1" applyBorder="1" applyAlignment="1">
      <alignment/>
    </xf>
    <xf numFmtId="170" fontId="6" fillId="39" borderId="10" xfId="0" applyNumberFormat="1" applyFont="1" applyFill="1" applyBorder="1" applyAlignment="1" applyProtection="1">
      <alignment horizontal="center" vertical="center"/>
      <protection/>
    </xf>
    <xf numFmtId="14" fontId="0" fillId="0" borderId="0" xfId="0" applyNumberFormat="1" applyAlignment="1">
      <alignment/>
    </xf>
    <xf numFmtId="169" fontId="0" fillId="0" borderId="0" xfId="0" applyNumberFormat="1" applyAlignment="1">
      <alignment/>
    </xf>
    <xf numFmtId="168" fontId="7" fillId="37" borderId="10" xfId="0" applyNumberFormat="1" applyFont="1" applyFill="1" applyBorder="1" applyAlignment="1" applyProtection="1">
      <alignment horizontal="center" vertical="center"/>
      <protection locked="0"/>
    </xf>
    <xf numFmtId="0" fontId="0" fillId="0" borderId="15" xfId="0" applyFill="1" applyBorder="1" applyAlignment="1">
      <alignment horizontal="left"/>
    </xf>
    <xf numFmtId="0" fontId="0" fillId="0" borderId="0" xfId="0" applyFont="1" applyFill="1" applyAlignment="1">
      <alignment/>
    </xf>
    <xf numFmtId="169" fontId="0" fillId="0" borderId="0" xfId="0" applyNumberFormat="1" applyFont="1" applyFill="1" applyAlignment="1">
      <alignment/>
    </xf>
    <xf numFmtId="170" fontId="7" fillId="0" borderId="10" xfId="0" applyNumberFormat="1" applyFont="1" applyFill="1" applyBorder="1" applyAlignment="1" applyProtection="1">
      <alignment horizontal="center" vertical="center"/>
      <protection/>
    </xf>
    <xf numFmtId="0" fontId="0" fillId="0" borderId="12" xfId="0" applyFill="1" applyBorder="1" applyAlignment="1" applyProtection="1">
      <alignment vertical="top" wrapText="1"/>
      <protection/>
    </xf>
    <xf numFmtId="0" fontId="22" fillId="0" borderId="0" xfId="0" applyFont="1" applyFill="1" applyBorder="1" applyAlignment="1" applyProtection="1">
      <alignment/>
      <protection/>
    </xf>
    <xf numFmtId="0" fontId="22" fillId="0" borderId="0" xfId="0" applyFont="1" applyFill="1" applyBorder="1" applyAlignment="1" applyProtection="1">
      <alignment horizontal="center"/>
      <protection/>
    </xf>
    <xf numFmtId="0" fontId="22" fillId="0" borderId="14" xfId="0" applyFont="1" applyFill="1" applyBorder="1" applyAlignment="1" applyProtection="1">
      <alignment horizontal="center"/>
      <protection/>
    </xf>
    <xf numFmtId="0" fontId="22" fillId="0" borderId="22" xfId="0" applyFont="1" applyFill="1" applyBorder="1" applyAlignment="1" applyProtection="1">
      <alignment/>
      <protection/>
    </xf>
    <xf numFmtId="0" fontId="22" fillId="0" borderId="22" xfId="0" applyFont="1" applyFill="1" applyBorder="1" applyAlignment="1" applyProtection="1">
      <alignment horizontal="center"/>
      <protection/>
    </xf>
    <xf numFmtId="0" fontId="0" fillId="0" borderId="0" xfId="0" applyFill="1" applyAlignment="1">
      <alignment/>
    </xf>
    <xf numFmtId="0" fontId="0" fillId="0" borderId="0" xfId="0" applyFill="1" applyAlignment="1" applyProtection="1">
      <alignment/>
      <protection/>
    </xf>
    <xf numFmtId="0" fontId="0" fillId="0" borderId="0" xfId="0" applyFill="1" applyAlignment="1" applyProtection="1">
      <alignment horizontal="center"/>
      <protection/>
    </xf>
    <xf numFmtId="0" fontId="0" fillId="0" borderId="11" xfId="0" applyFill="1" applyBorder="1" applyAlignment="1" applyProtection="1">
      <alignment horizontal="center" vertical="top" wrapText="1"/>
      <protection/>
    </xf>
    <xf numFmtId="0" fontId="22" fillId="0" borderId="13" xfId="0" applyFont="1" applyFill="1" applyBorder="1" applyAlignment="1" applyProtection="1">
      <alignment horizontal="center"/>
      <protection/>
    </xf>
    <xf numFmtId="170" fontId="22" fillId="0" borderId="0" xfId="0" applyNumberFormat="1" applyFont="1" applyFill="1" applyBorder="1" applyAlignment="1" applyProtection="1">
      <alignment/>
      <protection/>
    </xf>
    <xf numFmtId="0" fontId="22" fillId="0" borderId="21" xfId="0" applyFont="1" applyFill="1" applyBorder="1" applyAlignment="1" applyProtection="1">
      <alignment horizontal="center"/>
      <protection/>
    </xf>
    <xf numFmtId="170" fontId="22" fillId="0" borderId="22" xfId="0" applyNumberFormat="1" applyFont="1" applyFill="1" applyBorder="1" applyAlignment="1" applyProtection="1">
      <alignment/>
      <protection/>
    </xf>
    <xf numFmtId="0" fontId="20" fillId="0" borderId="0" xfId="0" applyFont="1" applyFill="1" applyBorder="1" applyAlignment="1" applyProtection="1">
      <alignment horizontal="center" vertical="center"/>
      <protection/>
    </xf>
    <xf numFmtId="0" fontId="6" fillId="32" borderId="39" xfId="0" applyFont="1" applyFill="1" applyBorder="1" applyAlignment="1" applyProtection="1">
      <alignment horizontal="center" vertical="center" wrapText="1"/>
      <protection/>
    </xf>
    <xf numFmtId="0" fontId="6" fillId="32" borderId="15" xfId="0" applyFont="1" applyFill="1" applyBorder="1" applyAlignment="1" applyProtection="1">
      <alignment vertical="center"/>
      <protection/>
    </xf>
    <xf numFmtId="0" fontId="6" fillId="32" borderId="17" xfId="0" applyFont="1" applyFill="1" applyBorder="1" applyAlignment="1" applyProtection="1">
      <alignment vertical="center"/>
      <protection/>
    </xf>
    <xf numFmtId="0" fontId="0" fillId="32" borderId="0" xfId="0" applyFill="1" applyBorder="1" applyAlignment="1" applyProtection="1">
      <alignment vertical="center"/>
      <protection/>
    </xf>
    <xf numFmtId="0" fontId="0" fillId="0" borderId="0" xfId="0" applyBorder="1" applyAlignment="1">
      <alignment vertical="center"/>
    </xf>
    <xf numFmtId="0" fontId="25" fillId="34" borderId="18" xfId="0" applyFont="1" applyFill="1" applyBorder="1" applyAlignment="1" applyProtection="1">
      <alignment horizontal="center" vertical="center" wrapText="1"/>
      <protection/>
    </xf>
    <xf numFmtId="0" fontId="33" fillId="32" borderId="22" xfId="0" applyFont="1" applyFill="1" applyBorder="1" applyAlignment="1" applyProtection="1">
      <alignment horizontal="left" vertical="center"/>
      <protection/>
    </xf>
    <xf numFmtId="0" fontId="0" fillId="0" borderId="40" xfId="0" applyFill="1" applyBorder="1" applyAlignment="1" applyProtection="1">
      <alignment/>
      <protection/>
    </xf>
    <xf numFmtId="0" fontId="0" fillId="40" borderId="41" xfId="0" applyFill="1" applyBorder="1" applyAlignment="1" applyProtection="1">
      <alignment horizontal="center" vertical="top" wrapText="1"/>
      <protection/>
    </xf>
    <xf numFmtId="0" fontId="0" fillId="0" borderId="0" xfId="0" applyFont="1" applyAlignment="1">
      <alignment/>
    </xf>
    <xf numFmtId="0" fontId="20" fillId="0" borderId="0" xfId="0" applyFont="1" applyFill="1" applyBorder="1" applyAlignment="1" applyProtection="1">
      <alignment horizontal="center" vertical="center" wrapText="1"/>
      <protection/>
    </xf>
    <xf numFmtId="0" fontId="20" fillId="0" borderId="10" xfId="0" applyFont="1" applyFill="1" applyBorder="1" applyAlignment="1" applyProtection="1">
      <alignment horizontal="center" vertical="center" wrapText="1"/>
      <protection locked="0"/>
    </xf>
    <xf numFmtId="0" fontId="20" fillId="0" borderId="10" xfId="0" applyFont="1" applyFill="1" applyBorder="1" applyAlignment="1" applyProtection="1">
      <alignment horizontal="center" vertical="center" wrapText="1"/>
      <protection/>
    </xf>
    <xf numFmtId="0" fontId="20" fillId="41" borderId="15" xfId="0" applyFont="1" applyFill="1" applyBorder="1" applyAlignment="1">
      <alignment wrapText="1"/>
    </xf>
    <xf numFmtId="0" fontId="0" fillId="32" borderId="0" xfId="0" applyFont="1" applyFill="1" applyBorder="1" applyAlignment="1" applyProtection="1">
      <alignment vertical="center"/>
      <protection/>
    </xf>
    <xf numFmtId="168" fontId="0" fillId="0" borderId="0" xfId="0" applyNumberFormat="1" applyFont="1" applyFill="1" applyBorder="1" applyAlignment="1" applyProtection="1">
      <alignment horizontal="center" vertical="center"/>
      <protection/>
    </xf>
    <xf numFmtId="0" fontId="0" fillId="32" borderId="19" xfId="0" applyFont="1" applyFill="1" applyBorder="1" applyAlignment="1" applyProtection="1">
      <alignment vertical="center"/>
      <protection/>
    </xf>
    <xf numFmtId="0" fontId="15" fillId="4" borderId="10" xfId="0" applyNumberFormat="1" applyFont="1" applyFill="1" applyBorder="1" applyAlignment="1" applyProtection="1">
      <alignment horizontal="center" vertical="center"/>
      <protection locked="0"/>
    </xf>
    <xf numFmtId="0" fontId="25" fillId="34" borderId="10" xfId="0" applyFont="1" applyFill="1" applyBorder="1" applyAlignment="1" applyProtection="1">
      <alignment horizontal="center" vertical="center" wrapText="1"/>
      <protection/>
    </xf>
    <xf numFmtId="0" fontId="33" fillId="0" borderId="12" xfId="0" applyFont="1" applyBorder="1" applyAlignment="1">
      <alignment vertical="center"/>
    </xf>
    <xf numFmtId="0" fontId="22" fillId="42" borderId="42" xfId="0" applyFont="1" applyFill="1" applyBorder="1" applyAlignment="1" applyProtection="1">
      <alignment horizontal="center"/>
      <protection/>
    </xf>
    <xf numFmtId="0" fontId="22" fillId="42" borderId="43" xfId="0" applyFont="1" applyFill="1" applyBorder="1" applyAlignment="1" applyProtection="1">
      <alignment/>
      <protection/>
    </xf>
    <xf numFmtId="0" fontId="22" fillId="42" borderId="44" xfId="0" applyFont="1" applyFill="1" applyBorder="1" applyAlignment="1" applyProtection="1">
      <alignment/>
      <protection/>
    </xf>
    <xf numFmtId="0" fontId="92" fillId="0" borderId="0" xfId="0" applyFont="1" applyAlignment="1">
      <alignment/>
    </xf>
    <xf numFmtId="0" fontId="93" fillId="42" borderId="42" xfId="0" applyFont="1" applyFill="1" applyBorder="1" applyAlignment="1" applyProtection="1">
      <alignment horizontal="center"/>
      <protection/>
    </xf>
    <xf numFmtId="0" fontId="93" fillId="42" borderId="43" xfId="0" applyFont="1" applyFill="1" applyBorder="1" applyAlignment="1" applyProtection="1">
      <alignment/>
      <protection/>
    </xf>
    <xf numFmtId="0" fontId="93" fillId="42" borderId="44" xfId="0" applyFont="1" applyFill="1" applyBorder="1" applyAlignment="1" applyProtection="1">
      <alignment/>
      <protection/>
    </xf>
    <xf numFmtId="0" fontId="0" fillId="0" borderId="14" xfId="0" applyBorder="1" applyAlignment="1" applyProtection="1">
      <alignment/>
      <protection/>
    </xf>
    <xf numFmtId="0" fontId="0" fillId="0" borderId="23" xfId="0" applyBorder="1" applyAlignment="1" applyProtection="1">
      <alignment/>
      <protection/>
    </xf>
    <xf numFmtId="0" fontId="0" fillId="0" borderId="16" xfId="0" applyFont="1" applyBorder="1" applyAlignment="1" applyProtection="1">
      <alignment/>
      <protection/>
    </xf>
    <xf numFmtId="0" fontId="22" fillId="0" borderId="14" xfId="0" applyFont="1" applyFill="1" applyBorder="1" applyAlignment="1" applyProtection="1">
      <alignment horizontal="center"/>
      <protection/>
    </xf>
    <xf numFmtId="0" fontId="35" fillId="0" borderId="0" xfId="0" applyFont="1" applyAlignment="1" applyProtection="1">
      <alignment/>
      <protection/>
    </xf>
    <xf numFmtId="0" fontId="94" fillId="0" borderId="0" xfId="0" applyFont="1" applyFill="1" applyBorder="1" applyAlignment="1" applyProtection="1">
      <alignment horizontal="center" vertical="center" wrapText="1"/>
      <protection/>
    </xf>
    <xf numFmtId="9" fontId="22" fillId="32" borderId="17" xfId="0" applyNumberFormat="1" applyFont="1" applyFill="1" applyBorder="1" applyAlignment="1" applyProtection="1">
      <alignment horizontal="center" vertical="center"/>
      <protection/>
    </xf>
    <xf numFmtId="0" fontId="95" fillId="32" borderId="0" xfId="0" applyFont="1" applyFill="1" applyBorder="1" applyAlignment="1" applyProtection="1">
      <alignment vertical="center"/>
      <protection/>
    </xf>
    <xf numFmtId="0" fontId="34" fillId="33" borderId="0" xfId="0" applyFont="1" applyFill="1" applyAlignment="1">
      <alignment horizontal="left" vertical="center" wrapText="1"/>
    </xf>
    <xf numFmtId="0" fontId="18" fillId="33" borderId="0" xfId="0" applyFont="1" applyFill="1" applyAlignment="1">
      <alignment horizontal="left" vertical="center" wrapText="1"/>
    </xf>
    <xf numFmtId="0" fontId="0" fillId="0" borderId="0" xfId="0" applyAlignment="1">
      <alignment vertical="center" wrapText="1"/>
    </xf>
    <xf numFmtId="0" fontId="0" fillId="0" borderId="0" xfId="0" applyAlignment="1">
      <alignment/>
    </xf>
    <xf numFmtId="0" fontId="7" fillId="32" borderId="19" xfId="0" applyFont="1" applyFill="1" applyBorder="1" applyAlignment="1" applyProtection="1">
      <alignment horizontal="center" vertical="center"/>
      <protection/>
    </xf>
    <xf numFmtId="0" fontId="7" fillId="32" borderId="38" xfId="0" applyFont="1" applyFill="1" applyBorder="1" applyAlignment="1" applyProtection="1">
      <alignment horizontal="center" vertical="center"/>
      <protection/>
    </xf>
    <xf numFmtId="0" fontId="7" fillId="32" borderId="20" xfId="0" applyFont="1" applyFill="1" applyBorder="1" applyAlignment="1" applyProtection="1">
      <alignment horizontal="center" vertical="center"/>
      <protection/>
    </xf>
    <xf numFmtId="0" fontId="7" fillId="32" borderId="10" xfId="0" applyFont="1" applyFill="1" applyBorder="1" applyAlignment="1" applyProtection="1">
      <alignment horizontal="center" vertical="center"/>
      <protection/>
    </xf>
    <xf numFmtId="0" fontId="8" fillId="33" borderId="33" xfId="0" applyFont="1" applyFill="1" applyBorder="1" applyAlignment="1" applyProtection="1">
      <alignment horizontal="center" vertical="center" wrapText="1"/>
      <protection/>
    </xf>
    <xf numFmtId="0" fontId="0" fillId="0" borderId="34" xfId="0" applyBorder="1" applyAlignment="1" applyProtection="1">
      <alignment/>
      <protection/>
    </xf>
    <xf numFmtId="0" fontId="0" fillId="0" borderId="35" xfId="0" applyBorder="1" applyAlignment="1" applyProtection="1">
      <alignment/>
      <protection/>
    </xf>
    <xf numFmtId="0" fontId="20" fillId="41" borderId="43" xfId="0" applyFont="1" applyFill="1" applyBorder="1" applyAlignment="1" applyProtection="1">
      <alignment horizontal="left" vertical="center" wrapText="1"/>
      <protection/>
    </xf>
    <xf numFmtId="0" fontId="0" fillId="0" borderId="38" xfId="0" applyBorder="1" applyAlignment="1" applyProtection="1">
      <alignment horizontal="left" wrapText="1"/>
      <protection/>
    </xf>
    <xf numFmtId="0" fontId="0" fillId="0" borderId="44" xfId="0" applyBorder="1" applyAlignment="1" applyProtection="1">
      <alignment horizontal="left" wrapText="1"/>
      <protection/>
    </xf>
    <xf numFmtId="0" fontId="20" fillId="0" borderId="45" xfId="0" applyFont="1" applyBorder="1" applyAlignment="1" applyProtection="1">
      <alignment horizontal="center" wrapText="1"/>
      <protection/>
    </xf>
    <xf numFmtId="0" fontId="20" fillId="0" borderId="12" xfId="0" applyFont="1" applyBorder="1" applyAlignment="1" applyProtection="1">
      <alignment horizontal="center" wrapText="1"/>
      <protection/>
    </xf>
    <xf numFmtId="0" fontId="20" fillId="0" borderId="46" xfId="0" applyFont="1" applyBorder="1" applyAlignment="1" applyProtection="1">
      <alignment horizontal="center" wrapText="1"/>
      <protection/>
    </xf>
    <xf numFmtId="0" fontId="0" fillId="40" borderId="47" xfId="0" applyFill="1" applyBorder="1" applyAlignment="1" applyProtection="1">
      <alignment vertical="top" wrapText="1"/>
      <protection/>
    </xf>
    <xf numFmtId="0" fontId="0" fillId="0" borderId="48" xfId="0" applyBorder="1" applyAlignment="1" applyProtection="1">
      <alignment vertical="top" wrapText="1"/>
      <protection/>
    </xf>
    <xf numFmtId="0" fontId="20" fillId="40" borderId="49" xfId="0" applyFont="1" applyFill="1" applyBorder="1" applyAlignment="1" applyProtection="1">
      <alignment horizontal="center" vertical="center" wrapText="1"/>
      <protection/>
    </xf>
    <xf numFmtId="0" fontId="0" fillId="0" borderId="50" xfId="0" applyBorder="1" applyAlignment="1" applyProtection="1">
      <alignment wrapText="1"/>
      <protection/>
    </xf>
    <xf numFmtId="0" fontId="0" fillId="0" borderId="51" xfId="0" applyBorder="1" applyAlignment="1" applyProtection="1">
      <alignment wrapText="1"/>
      <protection/>
    </xf>
    <xf numFmtId="0" fontId="0" fillId="40" borderId="49" xfId="0" applyFill="1" applyBorder="1" applyAlignment="1" applyProtection="1">
      <alignment vertical="top" wrapText="1"/>
      <protection/>
    </xf>
    <xf numFmtId="0" fontId="0" fillId="0" borderId="51" xfId="0" applyBorder="1" applyAlignment="1" applyProtection="1">
      <alignment vertical="top" wrapText="1"/>
      <protection/>
    </xf>
    <xf numFmtId="0" fontId="0" fillId="40" borderId="49" xfId="0" applyFill="1" applyBorder="1" applyAlignment="1" applyProtection="1">
      <alignment vertical="top"/>
      <protection/>
    </xf>
    <xf numFmtId="0" fontId="0" fillId="0" borderId="51" xfId="0" applyBorder="1" applyAlignment="1" applyProtection="1">
      <alignment vertical="top"/>
      <protection/>
    </xf>
    <xf numFmtId="0" fontId="20" fillId="0" borderId="24" xfId="0" applyFont="1" applyBorder="1" applyAlignment="1" applyProtection="1">
      <alignment vertical="center"/>
      <protection/>
    </xf>
    <xf numFmtId="0" fontId="0" fillId="0" borderId="52" xfId="0" applyBorder="1" applyAlignment="1">
      <alignment vertical="center"/>
    </xf>
    <xf numFmtId="0" fontId="7" fillId="4" borderId="10" xfId="0" applyFont="1" applyFill="1" applyBorder="1" applyAlignment="1" applyProtection="1">
      <alignment horizontal="center" vertical="center"/>
      <protection locked="0"/>
    </xf>
    <xf numFmtId="0" fontId="15" fillId="0" borderId="10" xfId="0" applyFont="1" applyBorder="1" applyAlignment="1" applyProtection="1">
      <alignment vertical="center"/>
      <protection locked="0"/>
    </xf>
    <xf numFmtId="0" fontId="33" fillId="0" borderId="13" xfId="0" applyFont="1" applyFill="1" applyBorder="1" applyAlignment="1" applyProtection="1">
      <alignment horizontal="left" vertical="center" wrapText="1"/>
      <protection/>
    </xf>
    <xf numFmtId="0" fontId="33" fillId="0" borderId="0" xfId="0" applyFont="1" applyFill="1" applyBorder="1" applyAlignment="1" applyProtection="1">
      <alignment horizontal="left" vertical="center" wrapText="1"/>
      <protection/>
    </xf>
    <xf numFmtId="0" fontId="30" fillId="0" borderId="0" xfId="0" applyFont="1" applyBorder="1" applyAlignment="1">
      <alignment horizontal="left" vertical="center"/>
    </xf>
    <xf numFmtId="0" fontId="41" fillId="0" borderId="36" xfId="0" applyFont="1" applyBorder="1" applyAlignment="1" applyProtection="1">
      <alignment vertical="center"/>
      <protection/>
    </xf>
    <xf numFmtId="0" fontId="11" fillId="0" borderId="53" xfId="0" applyFont="1" applyBorder="1" applyAlignment="1" applyProtection="1">
      <alignment vertical="center"/>
      <protection/>
    </xf>
    <xf numFmtId="0" fontId="33" fillId="0" borderId="38" xfId="0" applyFont="1" applyFill="1" applyBorder="1" applyAlignment="1" applyProtection="1">
      <alignment vertical="center" wrapText="1"/>
      <protection/>
    </xf>
    <xf numFmtId="0" fontId="0" fillId="0" borderId="38" xfId="0" applyBorder="1" applyAlignment="1">
      <alignment vertical="center" wrapText="1"/>
    </xf>
    <xf numFmtId="0" fontId="20" fillId="43" borderId="19" xfId="0" applyFont="1" applyFill="1" applyBorder="1" applyAlignment="1" applyProtection="1">
      <alignment vertical="top" wrapText="1"/>
      <protection/>
    </xf>
    <xf numFmtId="0" fontId="0" fillId="0" borderId="38" xfId="0" applyBorder="1" applyAlignment="1">
      <alignment vertical="top"/>
    </xf>
    <xf numFmtId="0" fontId="0" fillId="0" borderId="20" xfId="0" applyBorder="1" applyAlignment="1">
      <alignment vertical="top"/>
    </xf>
    <xf numFmtId="0" fontId="33" fillId="0" borderId="12" xfId="0" applyFont="1" applyFill="1" applyBorder="1" applyAlignment="1" applyProtection="1">
      <alignment vertical="center"/>
      <protection/>
    </xf>
    <xf numFmtId="0" fontId="0" fillId="0" borderId="12" xfId="0" applyBorder="1" applyAlignment="1">
      <alignment vertical="center"/>
    </xf>
    <xf numFmtId="0" fontId="37" fillId="32" borderId="13" xfId="0" applyFont="1" applyFill="1" applyBorder="1" applyAlignment="1" applyProtection="1">
      <alignment horizontal="center" vertical="center" wrapText="1"/>
      <protection/>
    </xf>
    <xf numFmtId="0" fontId="38" fillId="0" borderId="0" xfId="0" applyFont="1" applyAlignment="1">
      <alignment vertical="center" wrapText="1"/>
    </xf>
    <xf numFmtId="0" fontId="38" fillId="0" borderId="14" xfId="0" applyFont="1" applyBorder="1" applyAlignment="1">
      <alignment vertical="center" wrapText="1"/>
    </xf>
    <xf numFmtId="0" fontId="0" fillId="4" borderId="19" xfId="0" applyFont="1" applyFill="1" applyBorder="1" applyAlignment="1" applyProtection="1">
      <alignment horizontal="center" vertical="center" wrapText="1"/>
      <protection locked="0"/>
    </xf>
    <xf numFmtId="0" fontId="0" fillId="4" borderId="20" xfId="0" applyFont="1" applyFill="1" applyBorder="1" applyAlignment="1" applyProtection="1">
      <alignment horizontal="center" vertical="center" wrapText="1"/>
      <protection locked="0"/>
    </xf>
    <xf numFmtId="0" fontId="0" fillId="32" borderId="10" xfId="0" applyFill="1" applyBorder="1" applyAlignment="1" applyProtection="1">
      <alignment vertical="center"/>
      <protection/>
    </xf>
    <xf numFmtId="0" fontId="0" fillId="0" borderId="10" xfId="0" applyBorder="1" applyAlignment="1">
      <alignment vertical="center"/>
    </xf>
    <xf numFmtId="0" fontId="20" fillId="43" borderId="19" xfId="0" applyFont="1" applyFill="1" applyBorder="1" applyAlignment="1" applyProtection="1">
      <alignment vertical="center" wrapText="1"/>
      <protection/>
    </xf>
    <xf numFmtId="0" fontId="20" fillId="43" borderId="38" xfId="0" applyFont="1" applyFill="1" applyBorder="1" applyAlignment="1" applyProtection="1">
      <alignment vertical="center" wrapText="1"/>
      <protection/>
    </xf>
    <xf numFmtId="0" fontId="0" fillId="0" borderId="20" xfId="0" applyBorder="1" applyAlignment="1">
      <alignment vertical="center" wrapText="1"/>
    </xf>
    <xf numFmtId="0" fontId="0" fillId="41" borderId="38" xfId="0" applyFill="1" applyBorder="1" applyAlignment="1">
      <alignment vertical="center" wrapText="1"/>
    </xf>
    <xf numFmtId="0" fontId="20" fillId="0" borderId="19" xfId="0" applyFont="1" applyFill="1" applyBorder="1" applyAlignment="1" applyProtection="1">
      <alignment horizontal="right" vertical="center" wrapText="1" indent="5"/>
      <protection/>
    </xf>
    <xf numFmtId="0" fontId="0" fillId="0" borderId="20" xfId="0" applyBorder="1" applyAlignment="1">
      <alignment horizontal="right" vertical="center" wrapText="1" indent="5"/>
    </xf>
    <xf numFmtId="0" fontId="20" fillId="0" borderId="54" xfId="0" applyFont="1" applyBorder="1" applyAlignment="1" applyProtection="1">
      <alignment vertical="center"/>
      <protection/>
    </xf>
    <xf numFmtId="0" fontId="0" fillId="0" borderId="55" xfId="0" applyBorder="1" applyAlignment="1">
      <alignment vertical="center"/>
    </xf>
    <xf numFmtId="0" fontId="16" fillId="33" borderId="13" xfId="0" applyFont="1" applyFill="1" applyBorder="1" applyAlignment="1" applyProtection="1">
      <alignment horizontal="center" vertical="center" wrapText="1"/>
      <protection/>
    </xf>
    <xf numFmtId="0" fontId="0" fillId="0" borderId="0" xfId="0" applyAlignment="1">
      <alignment horizontal="center" vertical="center" wrapText="1"/>
    </xf>
    <xf numFmtId="0" fontId="20" fillId="0" borderId="19" xfId="0" applyFont="1" applyFill="1" applyBorder="1" applyAlignment="1" applyProtection="1">
      <alignment horizontal="right" vertical="center" wrapText="1" indent="3"/>
      <protection/>
    </xf>
    <xf numFmtId="0" fontId="0" fillId="0" borderId="20" xfId="0" applyBorder="1" applyAlignment="1">
      <alignment horizontal="right" vertical="center" wrapText="1" indent="3"/>
    </xf>
    <xf numFmtId="0" fontId="15" fillId="4" borderId="10" xfId="0" applyFont="1" applyFill="1" applyBorder="1" applyAlignment="1" applyProtection="1">
      <alignment vertical="center"/>
      <protection locked="0"/>
    </xf>
    <xf numFmtId="0" fontId="7" fillId="4" borderId="10" xfId="0" applyFont="1" applyFill="1" applyBorder="1" applyAlignment="1" applyProtection="1">
      <alignment horizontal="center" vertical="center" wrapText="1"/>
      <protection locked="0"/>
    </xf>
    <xf numFmtId="0" fontId="0" fillId="4" borderId="19" xfId="0" applyFill="1" applyBorder="1" applyAlignment="1" applyProtection="1">
      <alignment horizontal="center" vertical="center" wrapText="1"/>
      <protection locked="0"/>
    </xf>
    <xf numFmtId="0" fontId="0" fillId="4" borderId="38" xfId="0" applyFill="1" applyBorder="1" applyAlignment="1" applyProtection="1">
      <alignment horizontal="center" vertical="center" wrapText="1"/>
      <protection locked="0"/>
    </xf>
    <xf numFmtId="0" fontId="0" fillId="4" borderId="20" xfId="0" applyFill="1" applyBorder="1" applyAlignment="1" applyProtection="1">
      <alignment horizontal="center" vertical="center" wrapText="1"/>
      <protection locked="0"/>
    </xf>
    <xf numFmtId="0" fontId="30" fillId="0" borderId="0" xfId="0" applyFont="1" applyBorder="1" applyAlignment="1">
      <alignment horizontal="left" vertical="center" wrapText="1"/>
    </xf>
    <xf numFmtId="0" fontId="0" fillId="0" borderId="18" xfId="0" applyFont="1" applyBorder="1" applyAlignment="1">
      <alignment vertical="center" wrapText="1"/>
    </xf>
    <xf numFmtId="0" fontId="0" fillId="0" borderId="18" xfId="0" applyBorder="1" applyAlignment="1">
      <alignment vertical="center"/>
    </xf>
    <xf numFmtId="0" fontId="0" fillId="4" borderId="19" xfId="0" applyFont="1" applyFill="1" applyBorder="1" applyAlignment="1" applyProtection="1">
      <alignment horizontal="center" vertical="center" wrapText="1"/>
      <protection locked="0"/>
    </xf>
    <xf numFmtId="0" fontId="0" fillId="0" borderId="19" xfId="0" applyFont="1" applyBorder="1" applyAlignment="1">
      <alignment vertical="center" wrapText="1"/>
    </xf>
    <xf numFmtId="0" fontId="30" fillId="0" borderId="14" xfId="0" applyFont="1" applyBorder="1" applyAlignment="1">
      <alignment horizontal="left" vertical="center"/>
    </xf>
    <xf numFmtId="0" fontId="9" fillId="32" borderId="12" xfId="0" applyFont="1" applyFill="1" applyBorder="1" applyAlignment="1" applyProtection="1">
      <alignment vertical="center" wrapText="1"/>
      <protection/>
    </xf>
    <xf numFmtId="0" fontId="0" fillId="32" borderId="19" xfId="0" applyFill="1" applyBorder="1" applyAlignment="1" applyProtection="1">
      <alignment vertical="center" wrapText="1"/>
      <protection/>
    </xf>
    <xf numFmtId="0" fontId="20" fillId="0" borderId="19" xfId="0" applyFont="1" applyBorder="1" applyAlignment="1" applyProtection="1">
      <alignment horizontal="right" vertical="center" indent="3"/>
      <protection/>
    </xf>
    <xf numFmtId="0" fontId="0" fillId="0" borderId="20" xfId="0" applyBorder="1" applyAlignment="1">
      <alignment horizontal="right" vertical="center" indent="3"/>
    </xf>
    <xf numFmtId="0" fontId="0" fillId="0" borderId="38" xfId="0" applyFont="1" applyBorder="1" applyAlignment="1">
      <alignment vertical="center" wrapText="1"/>
    </xf>
    <xf numFmtId="0" fontId="0" fillId="0" borderId="38" xfId="0" applyFont="1" applyBorder="1" applyAlignment="1">
      <alignment wrapText="1"/>
    </xf>
    <xf numFmtId="0" fontId="0" fillId="0" borderId="20" xfId="0" applyFont="1" applyBorder="1" applyAlignment="1">
      <alignment wrapText="1"/>
    </xf>
    <xf numFmtId="0" fontId="46" fillId="44" borderId="0" xfId="0" applyFont="1" applyFill="1" applyAlignment="1">
      <alignment horizontal="center" wrapText="1"/>
    </xf>
    <xf numFmtId="0" fontId="47" fillId="0" borderId="0" xfId="0" applyFont="1" applyAlignment="1">
      <alignment horizontal="center" wrapText="1"/>
    </xf>
    <xf numFmtId="0" fontId="20" fillId="0" borderId="10" xfId="0" applyFont="1" applyBorder="1" applyAlignment="1">
      <alignment horizontal="center" wrapText="1"/>
    </xf>
    <xf numFmtId="0" fontId="34" fillId="44" borderId="0" xfId="0" applyFont="1" applyFill="1" applyAlignment="1">
      <alignment vertical="center" wrapText="1"/>
    </xf>
    <xf numFmtId="0" fontId="20" fillId="0" borderId="45" xfId="0" applyFont="1" applyBorder="1" applyAlignment="1">
      <alignment horizontal="center" wrapText="1"/>
    </xf>
    <xf numFmtId="0" fontId="20" fillId="0" borderId="12" xfId="0" applyFont="1" applyBorder="1" applyAlignment="1">
      <alignment horizontal="center" wrapText="1"/>
    </xf>
    <xf numFmtId="0" fontId="20" fillId="0" borderId="46" xfId="0" applyFont="1" applyBorder="1" applyAlignment="1">
      <alignment horizontal="center" wrapText="1"/>
    </xf>
    <xf numFmtId="0" fontId="44" fillId="43" borderId="19" xfId="0" applyFont="1" applyFill="1" applyBorder="1" applyAlignment="1" applyProtection="1">
      <alignment vertical="center" wrapText="1"/>
      <protection/>
    </xf>
    <xf numFmtId="0" fontId="0" fillId="0" borderId="38" xfId="0" applyBorder="1" applyAlignment="1">
      <alignment wrapText="1"/>
    </xf>
    <xf numFmtId="0" fontId="0" fillId="0" borderId="20" xfId="0"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ont>
        <strike/>
        <color indexed="10"/>
      </font>
    </dxf>
    <dxf>
      <font>
        <strike/>
        <color indexed="10"/>
      </font>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32</xdr:row>
      <xdr:rowOff>76200</xdr:rowOff>
    </xdr:from>
    <xdr:to>
      <xdr:col>11</xdr:col>
      <xdr:colOff>466725</xdr:colOff>
      <xdr:row>37</xdr:row>
      <xdr:rowOff>142875</xdr:rowOff>
    </xdr:to>
    <xdr:sp>
      <xdr:nvSpPr>
        <xdr:cNvPr id="1" name="Text Box 2"/>
        <xdr:cNvSpPr txBox="1">
          <a:spLocks noChangeArrowheads="1"/>
        </xdr:cNvSpPr>
      </xdr:nvSpPr>
      <xdr:spPr>
        <a:xfrm>
          <a:off x="152400" y="18802350"/>
          <a:ext cx="6591300" cy="876300"/>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Arial"/>
              <a:ea typeface="Arial"/>
              <a:cs typeface="Arial"/>
            </a:rPr>
            <a:t>Enter the dimensions of each dynamic insulation (active) construction element, providing area (including opening areas) (Box Q04) and any opening areas (Box Q05).  </a:t>
          </a:r>
          <a:r>
            <a:rPr lang="en-US" cap="none" sz="1100" b="1" i="0" u="none" baseline="0">
              <a:solidFill>
                <a:srgbClr val="000000"/>
              </a:solidFill>
              <a:latin typeface="Arial"/>
              <a:ea typeface="Arial"/>
              <a:cs typeface="Arial"/>
            </a:rPr>
            <a:t>Note:</a:t>
          </a:r>
          <a:r>
            <a:rPr lang="en-US" cap="none" sz="1100" b="0" i="0" u="none" baseline="0">
              <a:solidFill>
                <a:srgbClr val="000000"/>
              </a:solidFill>
              <a:latin typeface="Arial"/>
              <a:ea typeface="Arial"/>
              <a:cs typeface="Arial"/>
            </a:rPr>
            <a:t> If installed in a sloped roof, the dimensions are measured along the slope and not along the hortizontal.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161925</xdr:colOff>
      <xdr:row>39</xdr:row>
      <xdr:rowOff>123825</xdr:rowOff>
    </xdr:from>
    <xdr:to>
      <xdr:col>11</xdr:col>
      <xdr:colOff>495300</xdr:colOff>
      <xdr:row>41</xdr:row>
      <xdr:rowOff>142875</xdr:rowOff>
    </xdr:to>
    <xdr:sp>
      <xdr:nvSpPr>
        <xdr:cNvPr id="2" name="Text Box 39"/>
        <xdr:cNvSpPr txBox="1">
          <a:spLocks noChangeArrowheads="1"/>
        </xdr:cNvSpPr>
      </xdr:nvSpPr>
      <xdr:spPr>
        <a:xfrm>
          <a:off x="161925" y="19983450"/>
          <a:ext cx="6610350" cy="342900"/>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Arial"/>
              <a:ea typeface="Arial"/>
              <a:cs typeface="Arial"/>
            </a:rPr>
            <a:t>Enter the site and ventilation system specification into Boxes Q06 to Q08.</a:t>
          </a:r>
        </a:p>
      </xdr:txBody>
    </xdr:sp>
    <xdr:clientData/>
  </xdr:twoCellAnchor>
  <xdr:twoCellAnchor>
    <xdr:from>
      <xdr:col>1</xdr:col>
      <xdr:colOff>0</xdr:colOff>
      <xdr:row>25</xdr:row>
      <xdr:rowOff>0</xdr:rowOff>
    </xdr:from>
    <xdr:to>
      <xdr:col>11</xdr:col>
      <xdr:colOff>447675</xdr:colOff>
      <xdr:row>30</xdr:row>
      <xdr:rowOff>104775</xdr:rowOff>
    </xdr:to>
    <xdr:sp>
      <xdr:nvSpPr>
        <xdr:cNvPr id="3" name="Text Box 40"/>
        <xdr:cNvSpPr txBox="1">
          <a:spLocks noChangeArrowheads="1"/>
        </xdr:cNvSpPr>
      </xdr:nvSpPr>
      <xdr:spPr>
        <a:xfrm>
          <a:off x="180975" y="17592675"/>
          <a:ext cx="6543675" cy="914400"/>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Arial"/>
              <a:ea typeface="Arial"/>
              <a:cs typeface="Arial"/>
            </a:rPr>
            <a:t>Obtain the dynamic insulation material name(s) and model(s), ensure it is listed on worksheet "Select material", and enter the index number(s) on the worksheet (Box Q01a, Q01b....) for at least one heat loss construction (e.g. wall, roof or floor) either directly or using the drop-down box.  Check that the material is shown correctly on worksheet "Calculate R-value".  Enter the dwelling volume (Box Q02) and airtightness (Box Q03).</a:t>
          </a:r>
        </a:p>
      </xdr:txBody>
    </xdr:sp>
    <xdr:clientData/>
  </xdr:twoCellAnchor>
  <xdr:twoCellAnchor>
    <xdr:from>
      <xdr:col>6</xdr:col>
      <xdr:colOff>19050</xdr:colOff>
      <xdr:row>9</xdr:row>
      <xdr:rowOff>0</xdr:rowOff>
    </xdr:from>
    <xdr:to>
      <xdr:col>6</xdr:col>
      <xdr:colOff>19050</xdr:colOff>
      <xdr:row>10</xdr:row>
      <xdr:rowOff>152400</xdr:rowOff>
    </xdr:to>
    <xdr:sp>
      <xdr:nvSpPr>
        <xdr:cNvPr id="4" name="Line 51"/>
        <xdr:cNvSpPr>
          <a:spLocks/>
        </xdr:cNvSpPr>
      </xdr:nvSpPr>
      <xdr:spPr>
        <a:xfrm flipH="1">
          <a:off x="3248025" y="14116050"/>
          <a:ext cx="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10</xdr:row>
      <xdr:rowOff>28575</xdr:rowOff>
    </xdr:from>
    <xdr:to>
      <xdr:col>12</xdr:col>
      <xdr:colOff>57150</xdr:colOff>
      <xdr:row>17</xdr:row>
      <xdr:rowOff>85725</xdr:rowOff>
    </xdr:to>
    <xdr:grpSp>
      <xdr:nvGrpSpPr>
        <xdr:cNvPr id="5" name="Group 115"/>
        <xdr:cNvGrpSpPr>
          <a:grpSpLocks/>
        </xdr:cNvGrpSpPr>
      </xdr:nvGrpSpPr>
      <xdr:grpSpPr>
        <a:xfrm>
          <a:off x="2276475" y="14373225"/>
          <a:ext cx="4667250" cy="1657350"/>
          <a:chOff x="239" y="1415"/>
          <a:chExt cx="490" cy="174"/>
        </a:xfrm>
        <a:solidFill>
          <a:srgbClr val="FFFFFF"/>
        </a:solidFill>
      </xdr:grpSpPr>
      <xdr:grpSp>
        <xdr:nvGrpSpPr>
          <xdr:cNvPr id="6" name="Group 53"/>
          <xdr:cNvGrpSpPr>
            <a:grpSpLocks/>
          </xdr:cNvGrpSpPr>
        </xdr:nvGrpSpPr>
        <xdr:grpSpPr>
          <a:xfrm>
            <a:off x="580" y="1415"/>
            <a:ext cx="149" cy="137"/>
            <a:chOff x="743" y="121"/>
            <a:chExt cx="149" cy="133"/>
          </a:xfrm>
          <a:solidFill>
            <a:srgbClr val="FFFFFF"/>
          </a:solidFill>
        </xdr:grpSpPr>
        <xdr:sp>
          <xdr:nvSpPr>
            <xdr:cNvPr id="7" name="Oval 54"/>
            <xdr:cNvSpPr>
              <a:spLocks noChangeAspect="1"/>
            </xdr:cNvSpPr>
          </xdr:nvSpPr>
          <xdr:spPr>
            <a:xfrm>
              <a:off x="743" y="121"/>
              <a:ext cx="149" cy="133"/>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Text Box 55"/>
            <xdr:cNvSpPr txBox="1">
              <a:spLocks noChangeArrowheads="1"/>
            </xdr:cNvSpPr>
          </xdr:nvSpPr>
          <xdr:spPr>
            <a:xfrm>
              <a:off x="748" y="166"/>
              <a:ext cx="140" cy="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Abandon Appendix Q assessment</a:t>
              </a:r>
            </a:p>
          </xdr:txBody>
        </xdr:sp>
      </xdr:grpSp>
      <xdr:sp>
        <xdr:nvSpPr>
          <xdr:cNvPr id="9" name="AutoShape 56"/>
          <xdr:cNvSpPr>
            <a:spLocks/>
          </xdr:cNvSpPr>
        </xdr:nvSpPr>
        <xdr:spPr>
          <a:xfrm>
            <a:off x="239" y="1428"/>
            <a:ext cx="204" cy="109"/>
          </a:xfrm>
          <a:prstGeom prst="flowChartDecision">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Can the dynamic  material brand and model be identified?</a:t>
            </a:r>
          </a:p>
        </xdr:txBody>
      </xdr:sp>
      <xdr:grpSp>
        <xdr:nvGrpSpPr>
          <xdr:cNvPr id="10" name="Group 57"/>
          <xdr:cNvGrpSpPr>
            <a:grpSpLocks/>
          </xdr:cNvGrpSpPr>
        </xdr:nvGrpSpPr>
        <xdr:grpSpPr>
          <a:xfrm>
            <a:off x="444" y="1473"/>
            <a:ext cx="135" cy="22"/>
            <a:chOff x="593" y="174"/>
            <a:chExt cx="135" cy="22"/>
          </a:xfrm>
          <a:solidFill>
            <a:srgbClr val="FFFFFF"/>
          </a:solidFill>
        </xdr:grpSpPr>
        <xdr:sp>
          <xdr:nvSpPr>
            <xdr:cNvPr id="11" name="Line 58"/>
            <xdr:cNvSpPr>
              <a:spLocks/>
            </xdr:cNvSpPr>
          </xdr:nvSpPr>
          <xdr:spPr>
            <a:xfrm>
              <a:off x="593" y="183"/>
              <a:ext cx="13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2" name="Text Box 59"/>
            <xdr:cNvSpPr txBox="1">
              <a:spLocks noChangeArrowheads="1"/>
            </xdr:cNvSpPr>
          </xdr:nvSpPr>
          <xdr:spPr>
            <a:xfrm>
              <a:off x="630" y="174"/>
              <a:ext cx="27" cy="22"/>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No</a:t>
              </a:r>
            </a:p>
          </xdr:txBody>
        </xdr:sp>
      </xdr:grpSp>
      <xdr:grpSp>
        <xdr:nvGrpSpPr>
          <xdr:cNvPr id="13" name="Group 60"/>
          <xdr:cNvGrpSpPr>
            <a:grpSpLocks/>
          </xdr:cNvGrpSpPr>
        </xdr:nvGrpSpPr>
        <xdr:grpSpPr>
          <a:xfrm>
            <a:off x="327" y="1537"/>
            <a:ext cx="35" cy="52"/>
            <a:chOff x="454" y="252"/>
            <a:chExt cx="35" cy="61"/>
          </a:xfrm>
          <a:solidFill>
            <a:srgbClr val="FFFFFF"/>
          </a:solidFill>
        </xdr:grpSpPr>
        <xdr:sp>
          <xdr:nvSpPr>
            <xdr:cNvPr id="14" name="Line 61"/>
            <xdr:cNvSpPr>
              <a:spLocks/>
            </xdr:cNvSpPr>
          </xdr:nvSpPr>
          <xdr:spPr>
            <a:xfrm>
              <a:off x="468" y="252"/>
              <a:ext cx="0" cy="6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5" name="Text Box 62"/>
            <xdr:cNvSpPr txBox="1">
              <a:spLocks noChangeArrowheads="1"/>
            </xdr:cNvSpPr>
          </xdr:nvSpPr>
          <xdr:spPr>
            <a:xfrm>
              <a:off x="454" y="266"/>
              <a:ext cx="35" cy="16"/>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Yes</a:t>
              </a:r>
            </a:p>
          </xdr:txBody>
        </xdr:sp>
      </xdr:grpSp>
    </xdr:grpSp>
    <xdr:clientData/>
  </xdr:twoCellAnchor>
  <xdr:twoCellAnchor>
    <xdr:from>
      <xdr:col>10</xdr:col>
      <xdr:colOff>0</xdr:colOff>
      <xdr:row>69</xdr:row>
      <xdr:rowOff>0</xdr:rowOff>
    </xdr:from>
    <xdr:to>
      <xdr:col>10</xdr:col>
      <xdr:colOff>0</xdr:colOff>
      <xdr:row>69</xdr:row>
      <xdr:rowOff>0</xdr:rowOff>
    </xdr:to>
    <xdr:sp>
      <xdr:nvSpPr>
        <xdr:cNvPr id="16" name="Line 63"/>
        <xdr:cNvSpPr>
          <a:spLocks/>
        </xdr:cNvSpPr>
      </xdr:nvSpPr>
      <xdr:spPr>
        <a:xfrm flipV="1">
          <a:off x="5667375" y="24984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69</xdr:row>
      <xdr:rowOff>0</xdr:rowOff>
    </xdr:from>
    <xdr:to>
      <xdr:col>6</xdr:col>
      <xdr:colOff>0</xdr:colOff>
      <xdr:row>69</xdr:row>
      <xdr:rowOff>0</xdr:rowOff>
    </xdr:to>
    <xdr:sp>
      <xdr:nvSpPr>
        <xdr:cNvPr id="17" name="Line 64"/>
        <xdr:cNvSpPr>
          <a:spLocks/>
        </xdr:cNvSpPr>
      </xdr:nvSpPr>
      <xdr:spPr>
        <a:xfrm>
          <a:off x="3228975" y="249840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69</xdr:row>
      <xdr:rowOff>0</xdr:rowOff>
    </xdr:from>
    <xdr:to>
      <xdr:col>6</xdr:col>
      <xdr:colOff>0</xdr:colOff>
      <xdr:row>69</xdr:row>
      <xdr:rowOff>0</xdr:rowOff>
    </xdr:to>
    <xdr:sp>
      <xdr:nvSpPr>
        <xdr:cNvPr id="18" name="Line 65"/>
        <xdr:cNvSpPr>
          <a:spLocks/>
        </xdr:cNvSpPr>
      </xdr:nvSpPr>
      <xdr:spPr>
        <a:xfrm>
          <a:off x="3228975" y="249840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533400</xdr:colOff>
      <xdr:row>88</xdr:row>
      <xdr:rowOff>28575</xdr:rowOff>
    </xdr:from>
    <xdr:to>
      <xdr:col>11</xdr:col>
      <xdr:colOff>590550</xdr:colOff>
      <xdr:row>90</xdr:row>
      <xdr:rowOff>28575</xdr:rowOff>
    </xdr:to>
    <xdr:pic>
      <xdr:nvPicPr>
        <xdr:cNvPr id="19" name="Picture 66" descr="BRE_green_logo_JPEG"/>
        <xdr:cNvPicPr preferRelativeResize="1">
          <a:picLocks noChangeAspect="1"/>
        </xdr:cNvPicPr>
      </xdr:nvPicPr>
      <xdr:blipFill>
        <a:blip r:embed="rId1"/>
        <a:stretch>
          <a:fillRect/>
        </a:stretch>
      </xdr:blipFill>
      <xdr:spPr>
        <a:xfrm>
          <a:off x="6200775" y="28765500"/>
          <a:ext cx="666750" cy="323850"/>
        </a:xfrm>
        <a:prstGeom prst="rect">
          <a:avLst/>
        </a:prstGeom>
        <a:noFill/>
        <a:ln w="9525" cmpd="sng">
          <a:noFill/>
        </a:ln>
      </xdr:spPr>
    </xdr:pic>
    <xdr:clientData/>
  </xdr:twoCellAnchor>
  <xdr:twoCellAnchor>
    <xdr:from>
      <xdr:col>6</xdr:col>
      <xdr:colOff>0</xdr:colOff>
      <xdr:row>37</xdr:row>
      <xdr:rowOff>152400</xdr:rowOff>
    </xdr:from>
    <xdr:to>
      <xdr:col>6</xdr:col>
      <xdr:colOff>0</xdr:colOff>
      <xdr:row>39</xdr:row>
      <xdr:rowOff>123825</xdr:rowOff>
    </xdr:to>
    <xdr:sp>
      <xdr:nvSpPr>
        <xdr:cNvPr id="20" name="Line 67"/>
        <xdr:cNvSpPr>
          <a:spLocks/>
        </xdr:cNvSpPr>
      </xdr:nvSpPr>
      <xdr:spPr>
        <a:xfrm flipH="1">
          <a:off x="3228975" y="19688175"/>
          <a:ext cx="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69</xdr:row>
      <xdr:rowOff>0</xdr:rowOff>
    </xdr:from>
    <xdr:to>
      <xdr:col>6</xdr:col>
      <xdr:colOff>180975</xdr:colOff>
      <xdr:row>69</xdr:row>
      <xdr:rowOff>0</xdr:rowOff>
    </xdr:to>
    <xdr:sp>
      <xdr:nvSpPr>
        <xdr:cNvPr id="21" name="Text Box 69"/>
        <xdr:cNvSpPr txBox="1">
          <a:spLocks noChangeArrowheads="1"/>
        </xdr:cNvSpPr>
      </xdr:nvSpPr>
      <xdr:spPr>
        <a:xfrm>
          <a:off x="3076575" y="24984075"/>
          <a:ext cx="3333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No</a:t>
          </a:r>
        </a:p>
      </xdr:txBody>
    </xdr:sp>
    <xdr:clientData/>
  </xdr:twoCellAnchor>
  <xdr:twoCellAnchor>
    <xdr:from>
      <xdr:col>25</xdr:col>
      <xdr:colOff>419100</xdr:colOff>
      <xdr:row>159</xdr:row>
      <xdr:rowOff>0</xdr:rowOff>
    </xdr:from>
    <xdr:to>
      <xdr:col>25</xdr:col>
      <xdr:colOff>419100</xdr:colOff>
      <xdr:row>163</xdr:row>
      <xdr:rowOff>123825</xdr:rowOff>
    </xdr:to>
    <xdr:sp>
      <xdr:nvSpPr>
        <xdr:cNvPr id="22" name="Line 70"/>
        <xdr:cNvSpPr>
          <a:spLocks/>
        </xdr:cNvSpPr>
      </xdr:nvSpPr>
      <xdr:spPr>
        <a:xfrm>
          <a:off x="14801850" y="40233600"/>
          <a:ext cx="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419100</xdr:colOff>
      <xdr:row>160</xdr:row>
      <xdr:rowOff>0</xdr:rowOff>
    </xdr:from>
    <xdr:to>
      <xdr:col>25</xdr:col>
      <xdr:colOff>419100</xdr:colOff>
      <xdr:row>164</xdr:row>
      <xdr:rowOff>123825</xdr:rowOff>
    </xdr:to>
    <xdr:sp>
      <xdr:nvSpPr>
        <xdr:cNvPr id="23" name="Line 71"/>
        <xdr:cNvSpPr>
          <a:spLocks/>
        </xdr:cNvSpPr>
      </xdr:nvSpPr>
      <xdr:spPr>
        <a:xfrm>
          <a:off x="14801850" y="40395525"/>
          <a:ext cx="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419100</xdr:colOff>
      <xdr:row>158</xdr:row>
      <xdr:rowOff>0</xdr:rowOff>
    </xdr:from>
    <xdr:to>
      <xdr:col>28</xdr:col>
      <xdr:colOff>419100</xdr:colOff>
      <xdr:row>162</xdr:row>
      <xdr:rowOff>123825</xdr:rowOff>
    </xdr:to>
    <xdr:sp>
      <xdr:nvSpPr>
        <xdr:cNvPr id="24" name="Line 72"/>
        <xdr:cNvSpPr>
          <a:spLocks/>
        </xdr:cNvSpPr>
      </xdr:nvSpPr>
      <xdr:spPr>
        <a:xfrm>
          <a:off x="16630650" y="40071675"/>
          <a:ext cx="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419100</xdr:colOff>
      <xdr:row>165</xdr:row>
      <xdr:rowOff>0</xdr:rowOff>
    </xdr:from>
    <xdr:to>
      <xdr:col>28</xdr:col>
      <xdr:colOff>419100</xdr:colOff>
      <xdr:row>169</xdr:row>
      <xdr:rowOff>123825</xdr:rowOff>
    </xdr:to>
    <xdr:sp>
      <xdr:nvSpPr>
        <xdr:cNvPr id="25" name="Line 73"/>
        <xdr:cNvSpPr>
          <a:spLocks/>
        </xdr:cNvSpPr>
      </xdr:nvSpPr>
      <xdr:spPr>
        <a:xfrm>
          <a:off x="16630650" y="41205150"/>
          <a:ext cx="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419100</xdr:colOff>
      <xdr:row>165</xdr:row>
      <xdr:rowOff>0</xdr:rowOff>
    </xdr:from>
    <xdr:to>
      <xdr:col>28</xdr:col>
      <xdr:colOff>419100</xdr:colOff>
      <xdr:row>169</xdr:row>
      <xdr:rowOff>123825</xdr:rowOff>
    </xdr:to>
    <xdr:sp>
      <xdr:nvSpPr>
        <xdr:cNvPr id="26" name="Line 74"/>
        <xdr:cNvSpPr>
          <a:spLocks/>
        </xdr:cNvSpPr>
      </xdr:nvSpPr>
      <xdr:spPr>
        <a:xfrm>
          <a:off x="16630650" y="41205150"/>
          <a:ext cx="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69</xdr:row>
      <xdr:rowOff>0</xdr:rowOff>
    </xdr:from>
    <xdr:to>
      <xdr:col>9</xdr:col>
      <xdr:colOff>219075</xdr:colOff>
      <xdr:row>69</xdr:row>
      <xdr:rowOff>0</xdr:rowOff>
    </xdr:to>
    <xdr:sp>
      <xdr:nvSpPr>
        <xdr:cNvPr id="27" name="Text Box 77"/>
        <xdr:cNvSpPr txBox="1">
          <a:spLocks noChangeArrowheads="1"/>
        </xdr:cNvSpPr>
      </xdr:nvSpPr>
      <xdr:spPr>
        <a:xfrm>
          <a:off x="4876800" y="24984075"/>
          <a:ext cx="4000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Yes</a:t>
          </a:r>
        </a:p>
      </xdr:txBody>
    </xdr:sp>
    <xdr:clientData/>
  </xdr:twoCellAnchor>
  <xdr:twoCellAnchor>
    <xdr:from>
      <xdr:col>24</xdr:col>
      <xdr:colOff>266700</xdr:colOff>
      <xdr:row>113</xdr:row>
      <xdr:rowOff>142875</xdr:rowOff>
    </xdr:from>
    <xdr:to>
      <xdr:col>24</xdr:col>
      <xdr:colOff>266700</xdr:colOff>
      <xdr:row>116</xdr:row>
      <xdr:rowOff>57150</xdr:rowOff>
    </xdr:to>
    <xdr:sp>
      <xdr:nvSpPr>
        <xdr:cNvPr id="28" name="Line 78"/>
        <xdr:cNvSpPr>
          <a:spLocks/>
        </xdr:cNvSpPr>
      </xdr:nvSpPr>
      <xdr:spPr>
        <a:xfrm flipH="1">
          <a:off x="14039850" y="32927925"/>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71</xdr:row>
      <xdr:rowOff>0</xdr:rowOff>
    </xdr:from>
    <xdr:to>
      <xdr:col>6</xdr:col>
      <xdr:colOff>0</xdr:colOff>
      <xdr:row>71</xdr:row>
      <xdr:rowOff>0</xdr:rowOff>
    </xdr:to>
    <xdr:sp>
      <xdr:nvSpPr>
        <xdr:cNvPr id="29" name="Line 83"/>
        <xdr:cNvSpPr>
          <a:spLocks/>
        </xdr:cNvSpPr>
      </xdr:nvSpPr>
      <xdr:spPr>
        <a:xfrm flipH="1">
          <a:off x="3228975" y="254603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30</xdr:row>
      <xdr:rowOff>114300</xdr:rowOff>
    </xdr:from>
    <xdr:to>
      <xdr:col>6</xdr:col>
      <xdr:colOff>0</xdr:colOff>
      <xdr:row>32</xdr:row>
      <xdr:rowOff>76200</xdr:rowOff>
    </xdr:to>
    <xdr:sp>
      <xdr:nvSpPr>
        <xdr:cNvPr id="30" name="Line 86"/>
        <xdr:cNvSpPr>
          <a:spLocks/>
        </xdr:cNvSpPr>
      </xdr:nvSpPr>
      <xdr:spPr>
        <a:xfrm flipH="1">
          <a:off x="3228975" y="18516600"/>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46</xdr:row>
      <xdr:rowOff>66675</xdr:rowOff>
    </xdr:from>
    <xdr:to>
      <xdr:col>6</xdr:col>
      <xdr:colOff>9525</xdr:colOff>
      <xdr:row>47</xdr:row>
      <xdr:rowOff>133350</xdr:rowOff>
    </xdr:to>
    <xdr:sp>
      <xdr:nvSpPr>
        <xdr:cNvPr id="31" name="Line 88"/>
        <xdr:cNvSpPr>
          <a:spLocks/>
        </xdr:cNvSpPr>
      </xdr:nvSpPr>
      <xdr:spPr>
        <a:xfrm flipH="1">
          <a:off x="3238500" y="2105977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152400</xdr:colOff>
      <xdr:row>56</xdr:row>
      <xdr:rowOff>57150</xdr:rowOff>
    </xdr:from>
    <xdr:to>
      <xdr:col>11</xdr:col>
      <xdr:colOff>514350</xdr:colOff>
      <xdr:row>59</xdr:row>
      <xdr:rowOff>38100</xdr:rowOff>
    </xdr:to>
    <xdr:sp>
      <xdr:nvSpPr>
        <xdr:cNvPr id="32" name="Text Box 100"/>
        <xdr:cNvSpPr txBox="1">
          <a:spLocks noChangeArrowheads="1"/>
        </xdr:cNvSpPr>
      </xdr:nvSpPr>
      <xdr:spPr>
        <a:xfrm>
          <a:off x="152400" y="22936200"/>
          <a:ext cx="6638925" cy="466725"/>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Arial"/>
              <a:ea typeface="Arial"/>
              <a:cs typeface="Arial"/>
            </a:rPr>
            <a:t>The dynamic insulation R-value result(s) are displayed in Boxes Q11a to Q11j (up to ten construction types).  These are the R-value(s) of the active dynamic insulation layer only.</a:t>
          </a:r>
        </a:p>
      </xdr:txBody>
    </xdr:sp>
    <xdr:clientData/>
  </xdr:twoCellAnchor>
  <xdr:twoCellAnchor>
    <xdr:from>
      <xdr:col>0</xdr:col>
      <xdr:colOff>161925</xdr:colOff>
      <xdr:row>47</xdr:row>
      <xdr:rowOff>142875</xdr:rowOff>
    </xdr:from>
    <xdr:to>
      <xdr:col>11</xdr:col>
      <xdr:colOff>523875</xdr:colOff>
      <xdr:row>54</xdr:row>
      <xdr:rowOff>85725</xdr:rowOff>
    </xdr:to>
    <xdr:sp>
      <xdr:nvSpPr>
        <xdr:cNvPr id="33" name="Text Box 101"/>
        <xdr:cNvSpPr txBox="1">
          <a:spLocks noChangeArrowheads="1"/>
        </xdr:cNvSpPr>
      </xdr:nvSpPr>
      <xdr:spPr>
        <a:xfrm>
          <a:off x="161925" y="21297900"/>
          <a:ext cx="6638925" cy="1343025"/>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Arial"/>
              <a:ea typeface="Arial"/>
              <a:cs typeface="Arial"/>
            </a:rPr>
            <a:t>Using approved U-value calculation software (BS EN ISO 6946 and BR443), compile a U-value (W/m²K) calculation for the applicable construction using the static value for the dynamic insulation R-value (m²K/W).  Determine the R-values of all the construction layers on either side of the dynamic insulation, then input these into the calculation tool on the 'Construction Layer' worksheet (layers on inside of dynamic insulation into Table Q1, layers on outside of dynamic insulation into Table Q2).  The R-value and cross-sectional area fraction of any bridging materials is also required.</a:t>
          </a:r>
        </a:p>
      </xdr:txBody>
    </xdr:sp>
    <xdr:clientData/>
  </xdr:twoCellAnchor>
  <xdr:twoCellAnchor>
    <xdr:from>
      <xdr:col>0</xdr:col>
      <xdr:colOff>133350</xdr:colOff>
      <xdr:row>61</xdr:row>
      <xdr:rowOff>38100</xdr:rowOff>
    </xdr:from>
    <xdr:to>
      <xdr:col>11</xdr:col>
      <xdr:colOff>495300</xdr:colOff>
      <xdr:row>63</xdr:row>
      <xdr:rowOff>142875</xdr:rowOff>
    </xdr:to>
    <xdr:sp>
      <xdr:nvSpPr>
        <xdr:cNvPr id="34" name="Text Box 102"/>
        <xdr:cNvSpPr txBox="1">
          <a:spLocks noChangeArrowheads="1"/>
        </xdr:cNvSpPr>
      </xdr:nvSpPr>
      <xdr:spPr>
        <a:xfrm>
          <a:off x="133350" y="23726775"/>
          <a:ext cx="6638925" cy="428625"/>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Arial"/>
              <a:ea typeface="Arial"/>
              <a:cs typeface="Arial"/>
            </a:rPr>
            <a:t>Enter the dynamic insulation R-value(s) back into previously compiled U-value calculation(s) to calculate dynamic insulation U-value for construction(s).</a:t>
          </a:r>
        </a:p>
      </xdr:txBody>
    </xdr:sp>
    <xdr:clientData/>
  </xdr:twoCellAnchor>
  <xdr:twoCellAnchor>
    <xdr:from>
      <xdr:col>6</xdr:col>
      <xdr:colOff>9525</xdr:colOff>
      <xdr:row>59</xdr:row>
      <xdr:rowOff>38100</xdr:rowOff>
    </xdr:from>
    <xdr:to>
      <xdr:col>6</xdr:col>
      <xdr:colOff>9525</xdr:colOff>
      <xdr:row>61</xdr:row>
      <xdr:rowOff>38100</xdr:rowOff>
    </xdr:to>
    <xdr:sp>
      <xdr:nvSpPr>
        <xdr:cNvPr id="35" name="Line 109"/>
        <xdr:cNvSpPr>
          <a:spLocks/>
        </xdr:cNvSpPr>
      </xdr:nvSpPr>
      <xdr:spPr>
        <a:xfrm flipH="1">
          <a:off x="3238500" y="2340292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54</xdr:row>
      <xdr:rowOff>85725</xdr:rowOff>
    </xdr:from>
    <xdr:to>
      <xdr:col>6</xdr:col>
      <xdr:colOff>19050</xdr:colOff>
      <xdr:row>56</xdr:row>
      <xdr:rowOff>57150</xdr:rowOff>
    </xdr:to>
    <xdr:sp>
      <xdr:nvSpPr>
        <xdr:cNvPr id="36" name="Line 110"/>
        <xdr:cNvSpPr>
          <a:spLocks/>
        </xdr:cNvSpPr>
      </xdr:nvSpPr>
      <xdr:spPr>
        <a:xfrm flipH="1">
          <a:off x="3248025" y="22640925"/>
          <a:ext cx="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79</xdr:row>
      <xdr:rowOff>152400</xdr:rowOff>
    </xdr:from>
    <xdr:to>
      <xdr:col>11</xdr:col>
      <xdr:colOff>457200</xdr:colOff>
      <xdr:row>86</xdr:row>
      <xdr:rowOff>276225</xdr:rowOff>
    </xdr:to>
    <xdr:sp>
      <xdr:nvSpPr>
        <xdr:cNvPr id="37" name="Text Box 111"/>
        <xdr:cNvSpPr txBox="1">
          <a:spLocks noChangeArrowheads="1"/>
        </xdr:cNvSpPr>
      </xdr:nvSpPr>
      <xdr:spPr>
        <a:xfrm>
          <a:off x="95250" y="27060525"/>
          <a:ext cx="6638925" cy="1257300"/>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Arial"/>
              <a:ea typeface="Arial"/>
              <a:cs typeface="Arial"/>
            </a:rPr>
            <a:t>IMPORTANT NOTE: The Fabric Energy Efficiency specification featured in SAP 2009/2012 is defined as the space heating and cooling requirements per square metre of floor area, obtained at worksheet (109) and calculated using natural ventilation with intermittent extract fans.  The effective performance of dynamic insulation requires a mechanical ventilation system and therefore the Fabric Energy Efficiency calculation must use the static R-value.  The Fabric Energy Efficiency when calculated with the Dynamic R-value is invalid.</a:t>
          </a:r>
        </a:p>
      </xdr:txBody>
    </xdr:sp>
    <xdr:clientData/>
  </xdr:twoCellAnchor>
  <xdr:twoCellAnchor>
    <xdr:from>
      <xdr:col>6</xdr:col>
      <xdr:colOff>19050</xdr:colOff>
      <xdr:row>63</xdr:row>
      <xdr:rowOff>142875</xdr:rowOff>
    </xdr:from>
    <xdr:to>
      <xdr:col>6</xdr:col>
      <xdr:colOff>19050</xdr:colOff>
      <xdr:row>65</xdr:row>
      <xdr:rowOff>85725</xdr:rowOff>
    </xdr:to>
    <xdr:sp>
      <xdr:nvSpPr>
        <xdr:cNvPr id="38" name="Line 112"/>
        <xdr:cNvSpPr>
          <a:spLocks/>
        </xdr:cNvSpPr>
      </xdr:nvSpPr>
      <xdr:spPr>
        <a:xfrm>
          <a:off x="3248025" y="241554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16</xdr:row>
      <xdr:rowOff>161925</xdr:rowOff>
    </xdr:from>
    <xdr:to>
      <xdr:col>12</xdr:col>
      <xdr:colOff>38100</xdr:colOff>
      <xdr:row>24</xdr:row>
      <xdr:rowOff>152400</xdr:rowOff>
    </xdr:to>
    <xdr:grpSp>
      <xdr:nvGrpSpPr>
        <xdr:cNvPr id="39" name="Group 116"/>
        <xdr:cNvGrpSpPr>
          <a:grpSpLocks/>
        </xdr:cNvGrpSpPr>
      </xdr:nvGrpSpPr>
      <xdr:grpSpPr>
        <a:xfrm>
          <a:off x="2276475" y="15878175"/>
          <a:ext cx="4648200" cy="1704975"/>
          <a:chOff x="239" y="1573"/>
          <a:chExt cx="488" cy="179"/>
        </a:xfrm>
        <a:solidFill>
          <a:srgbClr val="FFFFFF"/>
        </a:solidFill>
      </xdr:grpSpPr>
      <xdr:grpSp>
        <xdr:nvGrpSpPr>
          <xdr:cNvPr id="40" name="Group 90"/>
          <xdr:cNvGrpSpPr>
            <a:grpSpLocks/>
          </xdr:cNvGrpSpPr>
        </xdr:nvGrpSpPr>
        <xdr:grpSpPr>
          <a:xfrm>
            <a:off x="578" y="1573"/>
            <a:ext cx="149" cy="137"/>
            <a:chOff x="743" y="121"/>
            <a:chExt cx="149" cy="133"/>
          </a:xfrm>
          <a:solidFill>
            <a:srgbClr val="FFFFFF"/>
          </a:solidFill>
        </xdr:grpSpPr>
        <xdr:sp>
          <xdr:nvSpPr>
            <xdr:cNvPr id="41" name="Oval 91"/>
            <xdr:cNvSpPr>
              <a:spLocks noChangeAspect="1"/>
            </xdr:cNvSpPr>
          </xdr:nvSpPr>
          <xdr:spPr>
            <a:xfrm>
              <a:off x="743" y="121"/>
              <a:ext cx="149" cy="133"/>
            </a:xfrm>
            <a:prstGeom prst="ellipse">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Text Box 92"/>
            <xdr:cNvSpPr txBox="1">
              <a:spLocks noChangeArrowheads="1"/>
            </xdr:cNvSpPr>
          </xdr:nvSpPr>
          <xdr:spPr>
            <a:xfrm>
              <a:off x="748" y="166"/>
              <a:ext cx="140" cy="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Abandon Appendix Q assessment</a:t>
              </a:r>
            </a:p>
          </xdr:txBody>
        </xdr:sp>
      </xdr:grpSp>
      <xdr:sp>
        <xdr:nvSpPr>
          <xdr:cNvPr id="43" name="AutoShape 93"/>
          <xdr:cNvSpPr>
            <a:spLocks/>
          </xdr:cNvSpPr>
        </xdr:nvSpPr>
        <xdr:spPr>
          <a:xfrm>
            <a:off x="239" y="1588"/>
            <a:ext cx="204" cy="109"/>
          </a:xfrm>
          <a:prstGeom prst="flowChartDecision">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Is the dwelling mechanically vented?</a:t>
            </a:r>
          </a:p>
        </xdr:txBody>
      </xdr:sp>
      <xdr:grpSp>
        <xdr:nvGrpSpPr>
          <xdr:cNvPr id="44" name="Group 94"/>
          <xdr:cNvGrpSpPr>
            <a:grpSpLocks/>
          </xdr:cNvGrpSpPr>
        </xdr:nvGrpSpPr>
        <xdr:grpSpPr>
          <a:xfrm>
            <a:off x="443" y="1633"/>
            <a:ext cx="135" cy="22"/>
            <a:chOff x="593" y="174"/>
            <a:chExt cx="135" cy="22"/>
          </a:xfrm>
          <a:solidFill>
            <a:srgbClr val="FFFFFF"/>
          </a:solidFill>
        </xdr:grpSpPr>
        <xdr:sp>
          <xdr:nvSpPr>
            <xdr:cNvPr id="45" name="Line 95"/>
            <xdr:cNvSpPr>
              <a:spLocks/>
            </xdr:cNvSpPr>
          </xdr:nvSpPr>
          <xdr:spPr>
            <a:xfrm>
              <a:off x="593" y="183"/>
              <a:ext cx="13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6" name="Text Box 96"/>
            <xdr:cNvSpPr txBox="1">
              <a:spLocks noChangeArrowheads="1"/>
            </xdr:cNvSpPr>
          </xdr:nvSpPr>
          <xdr:spPr>
            <a:xfrm>
              <a:off x="630" y="174"/>
              <a:ext cx="27" cy="22"/>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No</a:t>
              </a:r>
            </a:p>
          </xdr:txBody>
        </xdr:sp>
      </xdr:grpSp>
      <xdr:grpSp>
        <xdr:nvGrpSpPr>
          <xdr:cNvPr id="47" name="Group 97"/>
          <xdr:cNvGrpSpPr>
            <a:grpSpLocks/>
          </xdr:cNvGrpSpPr>
        </xdr:nvGrpSpPr>
        <xdr:grpSpPr>
          <a:xfrm>
            <a:off x="326" y="1698"/>
            <a:ext cx="35" cy="54"/>
            <a:chOff x="454" y="252"/>
            <a:chExt cx="35" cy="61"/>
          </a:xfrm>
          <a:solidFill>
            <a:srgbClr val="FFFFFF"/>
          </a:solidFill>
        </xdr:grpSpPr>
        <xdr:sp>
          <xdr:nvSpPr>
            <xdr:cNvPr id="48" name="Line 98"/>
            <xdr:cNvSpPr>
              <a:spLocks/>
            </xdr:cNvSpPr>
          </xdr:nvSpPr>
          <xdr:spPr>
            <a:xfrm>
              <a:off x="468" y="252"/>
              <a:ext cx="0" cy="6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9" name="Text Box 99"/>
            <xdr:cNvSpPr txBox="1">
              <a:spLocks noChangeArrowheads="1"/>
            </xdr:cNvSpPr>
          </xdr:nvSpPr>
          <xdr:spPr>
            <a:xfrm>
              <a:off x="454" y="266"/>
              <a:ext cx="35" cy="17"/>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Yes</a:t>
              </a:r>
            </a:p>
          </xdr:txBody>
        </xdr:sp>
      </xdr:grpSp>
    </xdr:grpSp>
    <xdr:clientData/>
  </xdr:twoCellAnchor>
  <xdr:twoCellAnchor>
    <xdr:from>
      <xdr:col>1</xdr:col>
      <xdr:colOff>28575</xdr:colOff>
      <xdr:row>44</xdr:row>
      <xdr:rowOff>28575</xdr:rowOff>
    </xdr:from>
    <xdr:to>
      <xdr:col>11</xdr:col>
      <xdr:colOff>542925</xdr:colOff>
      <xdr:row>46</xdr:row>
      <xdr:rowOff>66675</xdr:rowOff>
    </xdr:to>
    <xdr:sp>
      <xdr:nvSpPr>
        <xdr:cNvPr id="50" name="Text Box 39"/>
        <xdr:cNvSpPr txBox="1">
          <a:spLocks noChangeArrowheads="1"/>
        </xdr:cNvSpPr>
      </xdr:nvSpPr>
      <xdr:spPr>
        <a:xfrm>
          <a:off x="209550" y="20697825"/>
          <a:ext cx="6610350" cy="361950"/>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Arial"/>
              <a:ea typeface="Arial"/>
              <a:cs typeface="Arial"/>
            </a:rPr>
            <a:t>Enter the Dynamic Insulation 'design' and 'installation &amp; commissioning' checklist status into Boxes Q09 to Q10.</a:t>
          </a:r>
        </a:p>
      </xdr:txBody>
    </xdr:sp>
    <xdr:clientData/>
  </xdr:twoCellAnchor>
  <xdr:twoCellAnchor>
    <xdr:from>
      <xdr:col>6</xdr:col>
      <xdr:colOff>0</xdr:colOff>
      <xdr:row>41</xdr:row>
      <xdr:rowOff>133350</xdr:rowOff>
    </xdr:from>
    <xdr:to>
      <xdr:col>6</xdr:col>
      <xdr:colOff>0</xdr:colOff>
      <xdr:row>44</xdr:row>
      <xdr:rowOff>19050</xdr:rowOff>
    </xdr:to>
    <xdr:sp>
      <xdr:nvSpPr>
        <xdr:cNvPr id="51" name="Line 88"/>
        <xdr:cNvSpPr>
          <a:spLocks/>
        </xdr:cNvSpPr>
      </xdr:nvSpPr>
      <xdr:spPr>
        <a:xfrm>
          <a:off x="3228975" y="20316825"/>
          <a:ext cx="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114300</xdr:colOff>
      <xdr:row>65</xdr:row>
      <xdr:rowOff>85725</xdr:rowOff>
    </xdr:from>
    <xdr:to>
      <xdr:col>11</xdr:col>
      <xdr:colOff>476250</xdr:colOff>
      <xdr:row>71</xdr:row>
      <xdr:rowOff>266700</xdr:rowOff>
    </xdr:to>
    <xdr:sp>
      <xdr:nvSpPr>
        <xdr:cNvPr id="52" name="Text Box 102"/>
        <xdr:cNvSpPr txBox="1">
          <a:spLocks noChangeArrowheads="1"/>
        </xdr:cNvSpPr>
      </xdr:nvSpPr>
      <xdr:spPr>
        <a:xfrm>
          <a:off x="114300" y="24422100"/>
          <a:ext cx="6638925" cy="1304925"/>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1100" b="1" i="0" u="none" baseline="0">
              <a:solidFill>
                <a:srgbClr val="000000"/>
              </a:solidFill>
              <a:latin typeface="Arial"/>
              <a:ea typeface="Arial"/>
              <a:cs typeface="Arial"/>
            </a:rPr>
            <a:t>Handover to On-Construction Domestic Energy Assessor (SAP Assessor)?
</a:t>
          </a:r>
          <a:r>
            <a:rPr lang="en-US" cap="none" sz="1100" b="0" i="0" u="none" baseline="0">
              <a:solidFill>
                <a:srgbClr val="000000"/>
              </a:solidFill>
              <a:latin typeface="Arial"/>
              <a:ea typeface="Arial"/>
              <a:cs typeface="Arial"/>
            </a:rPr>
            <a:t>For the purposes of Predicted Energy Assessments (PEA), Design-stage assessments and As-built assessments calculated for Building Control purposes using SAP 2009/2012, a formal handover may be required from the Dynamic Insulation system designer to the </a:t>
          </a:r>
          <a:r>
            <a:rPr lang="en-US" cap="none" sz="1100" b="0" i="0" u="none" baseline="0">
              <a:solidFill>
                <a:srgbClr val="000000"/>
              </a:solidFill>
              <a:latin typeface="Arial"/>
              <a:ea typeface="Arial"/>
              <a:cs typeface="Arial"/>
            </a:rPr>
            <a:t>On-Construction Domestic Energy Assessor (OCDEA) at this stage.  This would only occur if the Dynamic Insulation system design and OCDEA are different individuals, whilst the OCDEA would need to be satisfied this calculation tool and approved U-value calculation software had been completed correctly.
</a:t>
          </a:r>
        </a:p>
      </xdr:txBody>
    </xdr:sp>
    <xdr:clientData/>
  </xdr:twoCellAnchor>
  <xdr:twoCellAnchor>
    <xdr:from>
      <xdr:col>0</xdr:col>
      <xdr:colOff>114300</xdr:colOff>
      <xdr:row>73</xdr:row>
      <xdr:rowOff>104775</xdr:rowOff>
    </xdr:from>
    <xdr:to>
      <xdr:col>11</xdr:col>
      <xdr:colOff>476250</xdr:colOff>
      <xdr:row>77</xdr:row>
      <xdr:rowOff>104775</xdr:rowOff>
    </xdr:to>
    <xdr:sp>
      <xdr:nvSpPr>
        <xdr:cNvPr id="53" name="Text Box 111"/>
        <xdr:cNvSpPr txBox="1">
          <a:spLocks noChangeArrowheads="1"/>
        </xdr:cNvSpPr>
      </xdr:nvSpPr>
      <xdr:spPr>
        <a:xfrm>
          <a:off x="114300" y="26041350"/>
          <a:ext cx="6638925" cy="647700"/>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Arial"/>
              <a:ea typeface="Arial"/>
              <a:cs typeface="Arial"/>
            </a:rPr>
            <a:t>Enter U-value(s) into SAP 2009/2012 calculation software ensuring each construction is referenced as far as practicable for auditing.  Additionally, enter standard insulation U-values into SAP 2009/2012 software for the inactive areas as appropriate.
</a:t>
          </a:r>
        </a:p>
      </xdr:txBody>
    </xdr:sp>
    <xdr:clientData/>
  </xdr:twoCellAnchor>
  <xdr:twoCellAnchor>
    <xdr:from>
      <xdr:col>6</xdr:col>
      <xdr:colOff>28575</xdr:colOff>
      <xdr:row>71</xdr:row>
      <xdr:rowOff>266700</xdr:rowOff>
    </xdr:from>
    <xdr:to>
      <xdr:col>6</xdr:col>
      <xdr:colOff>28575</xdr:colOff>
      <xdr:row>73</xdr:row>
      <xdr:rowOff>95250</xdr:rowOff>
    </xdr:to>
    <xdr:sp>
      <xdr:nvSpPr>
        <xdr:cNvPr id="54" name="Line 112"/>
        <xdr:cNvSpPr>
          <a:spLocks/>
        </xdr:cNvSpPr>
      </xdr:nvSpPr>
      <xdr:spPr>
        <a:xfrm flipH="1">
          <a:off x="3257550" y="2572702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77</xdr:row>
      <xdr:rowOff>123825</xdr:rowOff>
    </xdr:from>
    <xdr:to>
      <xdr:col>6</xdr:col>
      <xdr:colOff>9525</xdr:colOff>
      <xdr:row>79</xdr:row>
      <xdr:rowOff>133350</xdr:rowOff>
    </xdr:to>
    <xdr:sp>
      <xdr:nvSpPr>
        <xdr:cNvPr id="55" name="Line 112"/>
        <xdr:cNvSpPr>
          <a:spLocks/>
        </xdr:cNvSpPr>
      </xdr:nvSpPr>
      <xdr:spPr>
        <a:xfrm flipH="1">
          <a:off x="3238500" y="26708100"/>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sheetPr>
  <dimension ref="B1:L90"/>
  <sheetViews>
    <sheetView showGridLines="0" tabSelected="1" zoomScale="115" zoomScaleNormal="115" zoomScalePageLayoutView="0" workbookViewId="0" topLeftCell="A1">
      <selection activeCell="J90" sqref="J90"/>
    </sheetView>
  </sheetViews>
  <sheetFormatPr defaultColWidth="9.140625" defaultRowHeight="12.75"/>
  <cols>
    <col min="1" max="1" width="2.7109375" style="32" customWidth="1"/>
    <col min="2" max="12" width="9.140625" style="32" customWidth="1"/>
    <col min="13" max="13" width="2.7109375" style="32" customWidth="1"/>
    <col min="14" max="16384" width="9.140625" style="32" customWidth="1"/>
  </cols>
  <sheetData>
    <row r="1" spans="2:12" ht="18">
      <c r="B1" s="33" t="s">
        <v>285</v>
      </c>
      <c r="C1" s="34"/>
      <c r="D1" s="34"/>
      <c r="E1" s="34"/>
      <c r="F1" s="34"/>
      <c r="G1" s="34"/>
      <c r="H1" s="34"/>
      <c r="I1" s="34"/>
      <c r="J1" s="34"/>
      <c r="K1" s="34"/>
      <c r="L1" s="34"/>
    </row>
    <row r="2" spans="2:12" ht="24.75" customHeight="1">
      <c r="B2" s="289" t="s">
        <v>59</v>
      </c>
      <c r="C2" s="290"/>
      <c r="D2" s="290"/>
      <c r="E2" s="290"/>
      <c r="F2" s="290"/>
      <c r="G2" s="290"/>
      <c r="H2" s="290"/>
      <c r="I2" s="290"/>
      <c r="J2" s="290"/>
      <c r="K2" s="290"/>
      <c r="L2" s="290"/>
    </row>
    <row r="3" spans="2:12" ht="85.5" customHeight="1">
      <c r="B3" s="288" t="s">
        <v>13</v>
      </c>
      <c r="C3" s="291"/>
      <c r="D3" s="291"/>
      <c r="E3" s="291"/>
      <c r="F3" s="291"/>
      <c r="G3" s="291"/>
      <c r="H3" s="291"/>
      <c r="I3" s="291"/>
      <c r="J3" s="291"/>
      <c r="K3" s="291"/>
      <c r="L3" s="291"/>
    </row>
    <row r="4" spans="2:12" ht="111" customHeight="1">
      <c r="B4" s="288" t="s">
        <v>286</v>
      </c>
      <c r="C4" s="291"/>
      <c r="D4" s="291"/>
      <c r="E4" s="291"/>
      <c r="F4" s="291"/>
      <c r="G4" s="291"/>
      <c r="H4" s="291"/>
      <c r="I4" s="291"/>
      <c r="J4" s="291"/>
      <c r="K4" s="291"/>
      <c r="L4" s="291"/>
    </row>
    <row r="5" spans="2:12" ht="186" customHeight="1">
      <c r="B5" s="288" t="s">
        <v>165</v>
      </c>
      <c r="C5" s="288"/>
      <c r="D5" s="288"/>
      <c r="E5" s="288"/>
      <c r="F5" s="288"/>
      <c r="G5" s="288"/>
      <c r="H5" s="288"/>
      <c r="I5" s="288"/>
      <c r="J5" s="288"/>
      <c r="K5" s="288"/>
      <c r="L5" s="288"/>
    </row>
    <row r="6" spans="2:12" ht="117" customHeight="1">
      <c r="B6" s="288" t="s">
        <v>149</v>
      </c>
      <c r="C6" s="288"/>
      <c r="D6" s="288"/>
      <c r="E6" s="288"/>
      <c r="F6" s="288"/>
      <c r="G6" s="288"/>
      <c r="H6" s="288"/>
      <c r="I6" s="288"/>
      <c r="J6" s="288"/>
      <c r="K6" s="288"/>
      <c r="L6" s="288"/>
    </row>
    <row r="7" spans="2:12" ht="192.75" customHeight="1">
      <c r="B7" s="288" t="s">
        <v>209</v>
      </c>
      <c r="C7" s="288"/>
      <c r="D7" s="288"/>
      <c r="E7" s="288"/>
      <c r="F7" s="288"/>
      <c r="G7" s="288"/>
      <c r="H7" s="288"/>
      <c r="I7" s="288"/>
      <c r="J7" s="288"/>
      <c r="K7" s="288"/>
      <c r="L7" s="288"/>
    </row>
    <row r="8" spans="2:12" ht="261" customHeight="1">
      <c r="B8" s="288" t="s">
        <v>0</v>
      </c>
      <c r="C8" s="288"/>
      <c r="D8" s="288"/>
      <c r="E8" s="288"/>
      <c r="F8" s="288"/>
      <c r="G8" s="288"/>
      <c r="H8" s="288"/>
      <c r="I8" s="288"/>
      <c r="J8" s="288"/>
      <c r="K8" s="288"/>
      <c r="L8" s="288"/>
    </row>
    <row r="9" spans="2:12" ht="115.5" customHeight="1">
      <c r="B9" s="288" t="s">
        <v>287</v>
      </c>
      <c r="C9" s="288"/>
      <c r="D9" s="288"/>
      <c r="E9" s="288"/>
      <c r="F9" s="288"/>
      <c r="G9" s="288"/>
      <c r="H9" s="288"/>
      <c r="I9" s="288"/>
      <c r="J9" s="288"/>
      <c r="K9" s="288"/>
      <c r="L9" s="288"/>
    </row>
    <row r="10" ht="18">
      <c r="E10" s="35"/>
    </row>
    <row r="11" ht="18">
      <c r="E11" s="35"/>
    </row>
    <row r="12" ht="18">
      <c r="E12" s="35"/>
    </row>
    <row r="13" ht="18">
      <c r="E13" s="35"/>
    </row>
    <row r="14" ht="18">
      <c r="E14" s="35"/>
    </row>
    <row r="15" ht="18">
      <c r="E15" s="35"/>
    </row>
    <row r="16" ht="18">
      <c r="E16" s="35"/>
    </row>
    <row r="17" ht="18">
      <c r="E17" s="35"/>
    </row>
    <row r="18" ht="18">
      <c r="E18" s="35"/>
    </row>
    <row r="19" ht="18">
      <c r="E19" s="35"/>
    </row>
    <row r="20" ht="18">
      <c r="E20" s="35"/>
    </row>
    <row r="21" ht="18">
      <c r="E21" s="35"/>
    </row>
    <row r="22" ht="18">
      <c r="E22" s="35"/>
    </row>
    <row r="23" ht="13.5" customHeight="1">
      <c r="E23" s="35"/>
    </row>
    <row r="24" ht="13.5" customHeight="1">
      <c r="E24" s="35"/>
    </row>
    <row r="25" ht="12.75"/>
    <row r="54" ht="33.75" customHeight="1"/>
    <row r="60" ht="12.75">
      <c r="G60" s="147"/>
    </row>
    <row r="71" ht="24.75" customHeight="1"/>
    <row r="72" ht="24.75" customHeight="1"/>
    <row r="87" ht="30" customHeight="1"/>
    <row r="88" ht="24.75" customHeight="1"/>
    <row r="90" ht="12.75">
      <c r="B90" s="36" t="str">
        <f>'Calculate R-value'!B47</f>
        <v>Version 2.2 09/06/2014</v>
      </c>
    </row>
  </sheetData>
  <sheetProtection password="EFE1" sheet="1"/>
  <mergeCells count="8">
    <mergeCell ref="B9:L9"/>
    <mergeCell ref="B8:L8"/>
    <mergeCell ref="B2:L2"/>
    <mergeCell ref="B3:L3"/>
    <mergeCell ref="B4:L4"/>
    <mergeCell ref="B7:L7"/>
    <mergeCell ref="B5:L5"/>
    <mergeCell ref="B6:L6"/>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52"/>
  </sheetPr>
  <dimension ref="B1:AA203"/>
  <sheetViews>
    <sheetView showGridLines="0" zoomScalePageLayoutView="0" workbookViewId="0" topLeftCell="A1">
      <selection activeCell="B7" sqref="B7"/>
    </sheetView>
  </sheetViews>
  <sheetFormatPr defaultColWidth="9.140625" defaultRowHeight="12.75"/>
  <cols>
    <col min="1" max="1" width="2.421875" style="37" customWidth="1"/>
    <col min="2" max="2" width="8.7109375" style="37" customWidth="1"/>
    <col min="3" max="3" width="11.57421875" style="37" customWidth="1"/>
    <col min="4" max="4" width="12.140625" style="37" customWidth="1"/>
    <col min="5" max="5" width="10.57421875" style="37" customWidth="1"/>
    <col min="6" max="6" width="8.7109375" style="37" customWidth="1"/>
    <col min="7" max="7" width="9.7109375" style="37" customWidth="1"/>
    <col min="8" max="8" width="8.28125" style="37" bestFit="1" customWidth="1"/>
    <col min="9" max="9" width="8.140625" style="37" bestFit="1" customWidth="1"/>
    <col min="10" max="10" width="8.7109375" style="37" customWidth="1"/>
    <col min="11" max="11" width="9.00390625" style="37" customWidth="1"/>
    <col min="12" max="12" width="2.421875" style="37" hidden="1" customWidth="1"/>
    <col min="13" max="13" width="8.28125" style="37" hidden="1" customWidth="1"/>
    <col min="14" max="14" width="9.28125" style="37" hidden="1" customWidth="1"/>
    <col min="15" max="15" width="8.57421875" style="37" hidden="1" customWidth="1"/>
    <col min="16" max="16" width="10.7109375" style="37" hidden="1" customWidth="1"/>
    <col min="17" max="17" width="15.8515625" style="37" hidden="1" customWidth="1"/>
    <col min="18" max="18" width="13.8515625" style="37" hidden="1" customWidth="1"/>
    <col min="19" max="19" width="14.7109375" style="37" hidden="1" customWidth="1"/>
    <col min="20" max="20" width="9.140625" style="37" hidden="1" customWidth="1"/>
    <col min="21" max="21" width="9.140625" style="244" hidden="1" customWidth="1"/>
    <col min="22" max="26" width="9.140625" style="245" hidden="1" customWidth="1"/>
    <col min="27" max="27" width="10.8515625" style="37" hidden="1" customWidth="1"/>
    <col min="28" max="16384" width="9.140625" style="37" customWidth="1"/>
  </cols>
  <sheetData>
    <row r="1" spans="2:11" ht="42.75" customHeight="1">
      <c r="B1" s="296" t="s">
        <v>133</v>
      </c>
      <c r="C1" s="297"/>
      <c r="D1" s="297"/>
      <c r="E1" s="297"/>
      <c r="F1" s="297"/>
      <c r="G1" s="297"/>
      <c r="H1" s="297"/>
      <c r="I1" s="297"/>
      <c r="J1" s="297"/>
      <c r="K1" s="298"/>
    </row>
    <row r="2" spans="2:11" ht="15" customHeight="1">
      <c r="B2" s="153"/>
      <c r="C2" s="38"/>
      <c r="D2" s="38"/>
      <c r="E2" s="38"/>
      <c r="F2" s="38"/>
      <c r="G2" s="38"/>
      <c r="H2" s="38"/>
      <c r="I2" s="38"/>
      <c r="J2" s="38"/>
      <c r="K2" s="260"/>
    </row>
    <row r="3" spans="2:13" ht="67.5" customHeight="1">
      <c r="B3" s="299" t="s">
        <v>1</v>
      </c>
      <c r="C3" s="300"/>
      <c r="D3" s="300"/>
      <c r="E3" s="300"/>
      <c r="F3" s="300"/>
      <c r="G3" s="300"/>
      <c r="H3" s="300"/>
      <c r="I3" s="300"/>
      <c r="J3" s="300"/>
      <c r="K3" s="301"/>
      <c r="M3" s="284" t="s">
        <v>277</v>
      </c>
    </row>
    <row r="4" spans="2:13" ht="18.75" thickBot="1">
      <c r="B4" s="302" t="s">
        <v>110</v>
      </c>
      <c r="C4" s="303"/>
      <c r="D4" s="303"/>
      <c r="E4" s="303"/>
      <c r="F4" s="303"/>
      <c r="G4" s="303"/>
      <c r="H4" s="303"/>
      <c r="I4" s="303"/>
      <c r="J4" s="303"/>
      <c r="K4" s="304"/>
      <c r="M4" s="93"/>
    </row>
    <row r="5" spans="2:13" ht="18" customHeight="1">
      <c r="B5" s="191" t="s">
        <v>100</v>
      </c>
      <c r="C5" s="192" t="s">
        <v>101</v>
      </c>
      <c r="D5" s="192" t="s">
        <v>102</v>
      </c>
      <c r="E5" s="192" t="s">
        <v>103</v>
      </c>
      <c r="F5" s="192" t="s">
        <v>104</v>
      </c>
      <c r="G5" s="192" t="s">
        <v>105</v>
      </c>
      <c r="H5" s="192" t="s">
        <v>106</v>
      </c>
      <c r="I5" s="192" t="s">
        <v>107</v>
      </c>
      <c r="J5" s="192" t="s">
        <v>108</v>
      </c>
      <c r="K5" s="193" t="s">
        <v>109</v>
      </c>
      <c r="M5" s="93"/>
    </row>
    <row r="6" spans="2:13" ht="18" customHeight="1">
      <c r="B6" s="149" t="s">
        <v>87</v>
      </c>
      <c r="C6" s="150" t="s">
        <v>88</v>
      </c>
      <c r="D6" s="150" t="s">
        <v>89</v>
      </c>
      <c r="E6" s="150" t="s">
        <v>93</v>
      </c>
      <c r="F6" s="150" t="s">
        <v>94</v>
      </c>
      <c r="G6" s="150" t="s">
        <v>95</v>
      </c>
      <c r="H6" s="150" t="s">
        <v>96</v>
      </c>
      <c r="I6" s="150" t="s">
        <v>97</v>
      </c>
      <c r="J6" s="150" t="s">
        <v>98</v>
      </c>
      <c r="K6" s="148" t="s">
        <v>99</v>
      </c>
      <c r="M6" s="93"/>
    </row>
    <row r="7" spans="2:13" ht="18" customHeight="1" thickBot="1">
      <c r="B7" s="151">
        <v>101</v>
      </c>
      <c r="C7" s="151"/>
      <c r="D7" s="151"/>
      <c r="E7" s="151"/>
      <c r="F7" s="151"/>
      <c r="G7" s="151"/>
      <c r="H7" s="151"/>
      <c r="I7" s="151"/>
      <c r="J7" s="151"/>
      <c r="K7" s="152"/>
      <c r="M7" s="93"/>
    </row>
    <row r="8" spans="21:26" s="102" customFormat="1" ht="13.5" thickBot="1">
      <c r="U8" s="246"/>
      <c r="V8" s="246"/>
      <c r="W8" s="246"/>
      <c r="X8" s="246"/>
      <c r="Y8" s="246"/>
      <c r="Z8" s="246"/>
    </row>
    <row r="9" spans="2:19" ht="14.25" customHeight="1" thickBot="1">
      <c r="B9" s="307" t="s">
        <v>132</v>
      </c>
      <c r="C9" s="308"/>
      <c r="D9" s="308"/>
      <c r="E9" s="308"/>
      <c r="F9" s="308"/>
      <c r="G9" s="308"/>
      <c r="H9" s="308"/>
      <c r="I9" s="308"/>
      <c r="J9" s="308"/>
      <c r="K9" s="309"/>
      <c r="L9" s="252"/>
      <c r="M9" s="294" t="s">
        <v>37</v>
      </c>
      <c r="N9" s="295"/>
      <c r="O9" s="295" t="s">
        <v>38</v>
      </c>
      <c r="P9" s="295"/>
      <c r="Q9" s="292" t="s">
        <v>41</v>
      </c>
      <c r="R9" s="293"/>
      <c r="S9" s="294"/>
    </row>
    <row r="10" spans="2:27" ht="52.5" customHeight="1" thickBot="1">
      <c r="B10" s="261" t="s">
        <v>42</v>
      </c>
      <c r="C10" s="310" t="s">
        <v>217</v>
      </c>
      <c r="D10" s="311"/>
      <c r="E10" s="310" t="s">
        <v>218</v>
      </c>
      <c r="F10" s="311"/>
      <c r="G10" s="312" t="s">
        <v>158</v>
      </c>
      <c r="H10" s="313"/>
      <c r="I10" s="305" t="s">
        <v>159</v>
      </c>
      <c r="J10" s="306"/>
      <c r="K10" s="261" t="s">
        <v>42</v>
      </c>
      <c r="L10" s="38"/>
      <c r="M10" s="42" t="s">
        <v>114</v>
      </c>
      <c r="N10" s="42" t="s">
        <v>121</v>
      </c>
      <c r="O10" s="42" t="s">
        <v>36</v>
      </c>
      <c r="P10" s="42" t="s">
        <v>112</v>
      </c>
      <c r="Q10" s="42" t="s">
        <v>115</v>
      </c>
      <c r="R10" s="98" t="s">
        <v>116</v>
      </c>
      <c r="S10" s="45" t="s">
        <v>127</v>
      </c>
      <c r="U10" s="247" t="s">
        <v>42</v>
      </c>
      <c r="V10" s="238" t="s">
        <v>63</v>
      </c>
      <c r="W10" s="238" t="s">
        <v>74</v>
      </c>
      <c r="X10" s="238" t="s">
        <v>124</v>
      </c>
      <c r="Y10" s="238" t="s">
        <v>134</v>
      </c>
      <c r="Z10" s="238" t="s">
        <v>125</v>
      </c>
      <c r="AA10" s="282" t="s">
        <v>264</v>
      </c>
    </row>
    <row r="11" spans="2:27" ht="11.25" customHeight="1">
      <c r="B11" s="273">
        <v>100</v>
      </c>
      <c r="C11" s="274" t="s">
        <v>43</v>
      </c>
      <c r="D11" s="275"/>
      <c r="E11" s="274" t="s">
        <v>43</v>
      </c>
      <c r="F11" s="275"/>
      <c r="G11" s="274"/>
      <c r="H11" s="275"/>
      <c r="I11" s="274"/>
      <c r="J11" s="275"/>
      <c r="K11" s="273">
        <f>B11</f>
        <v>100</v>
      </c>
      <c r="L11" s="38"/>
      <c r="S11" s="101"/>
      <c r="U11" s="248">
        <f>K11</f>
        <v>100</v>
      </c>
      <c r="V11" s="239"/>
      <c r="W11" s="239"/>
      <c r="X11" s="239"/>
      <c r="Y11" s="239"/>
      <c r="Z11" s="239"/>
      <c r="AA11" s="280"/>
    </row>
    <row r="12" spans="2:27" ht="11.25" customHeight="1">
      <c r="B12" s="277">
        <v>101</v>
      </c>
      <c r="C12" s="278" t="s">
        <v>199</v>
      </c>
      <c r="D12" s="279"/>
      <c r="E12" s="278" t="s">
        <v>200</v>
      </c>
      <c r="F12" s="279"/>
      <c r="G12" s="278">
        <v>200</v>
      </c>
      <c r="H12" s="279"/>
      <c r="I12" s="278">
        <v>4</v>
      </c>
      <c r="J12" s="279"/>
      <c r="K12" s="277">
        <f aca="true" t="shared" si="0" ref="K12:K75">B12</f>
        <v>101</v>
      </c>
      <c r="L12" s="38"/>
      <c r="M12" s="90">
        <v>0.95</v>
      </c>
      <c r="N12" s="90">
        <v>0.97</v>
      </c>
      <c r="O12" s="90">
        <v>0.98</v>
      </c>
      <c r="P12" s="90">
        <v>1</v>
      </c>
      <c r="Q12" s="90">
        <v>0.8</v>
      </c>
      <c r="R12" s="89">
        <v>0.95</v>
      </c>
      <c r="S12" s="92">
        <v>1</v>
      </c>
      <c r="U12" s="248">
        <f aca="true" t="shared" si="1" ref="U12:U75">K12</f>
        <v>101</v>
      </c>
      <c r="V12" s="249">
        <v>0.3</v>
      </c>
      <c r="W12" s="239">
        <v>0.02</v>
      </c>
      <c r="X12" s="240" t="s">
        <v>123</v>
      </c>
      <c r="Y12" s="240">
        <v>3</v>
      </c>
      <c r="Z12" s="240">
        <v>0.125</v>
      </c>
      <c r="AA12" s="241" t="s">
        <v>263</v>
      </c>
    </row>
    <row r="13" spans="2:27" ht="11.25" customHeight="1">
      <c r="B13" s="273">
        <v>102</v>
      </c>
      <c r="C13" s="274" t="s">
        <v>44</v>
      </c>
      <c r="D13" s="275"/>
      <c r="E13" s="274" t="s">
        <v>67</v>
      </c>
      <c r="F13" s="275"/>
      <c r="G13" s="274">
        <v>100</v>
      </c>
      <c r="H13" s="275"/>
      <c r="I13" s="274">
        <v>2.973</v>
      </c>
      <c r="J13" s="275"/>
      <c r="K13" s="273">
        <f t="shared" si="0"/>
        <v>102</v>
      </c>
      <c r="L13" s="38"/>
      <c r="M13" s="92">
        <v>0.98</v>
      </c>
      <c r="N13" s="286" t="s">
        <v>280</v>
      </c>
      <c r="O13" s="92">
        <v>0.98</v>
      </c>
      <c r="P13" s="92">
        <v>1</v>
      </c>
      <c r="Q13" s="92">
        <v>0.8</v>
      </c>
      <c r="R13" s="91">
        <v>0.95</v>
      </c>
      <c r="S13" s="92">
        <v>1</v>
      </c>
      <c r="U13" s="248">
        <f t="shared" si="1"/>
        <v>102</v>
      </c>
      <c r="V13" s="249">
        <v>0.4762</v>
      </c>
      <c r="W13" s="239">
        <v>0.0112</v>
      </c>
      <c r="X13" s="240" t="s">
        <v>123</v>
      </c>
      <c r="Y13" s="240">
        <v>3.28</v>
      </c>
      <c r="Z13" s="240">
        <v>0.25</v>
      </c>
      <c r="AA13" s="241" t="s">
        <v>263</v>
      </c>
    </row>
    <row r="14" spans="2:27" ht="11.25" customHeight="1">
      <c r="B14" s="273">
        <v>103</v>
      </c>
      <c r="C14" s="274" t="s">
        <v>44</v>
      </c>
      <c r="D14" s="275"/>
      <c r="E14" s="274" t="s">
        <v>68</v>
      </c>
      <c r="F14" s="275"/>
      <c r="G14" s="274">
        <v>125</v>
      </c>
      <c r="H14" s="275"/>
      <c r="I14" s="274">
        <v>3.807</v>
      </c>
      <c r="J14" s="275"/>
      <c r="K14" s="273">
        <f t="shared" si="0"/>
        <v>103</v>
      </c>
      <c r="L14" s="38"/>
      <c r="M14" s="92">
        <v>0.98</v>
      </c>
      <c r="N14" s="286" t="s">
        <v>280</v>
      </c>
      <c r="O14" s="92">
        <v>0.98</v>
      </c>
      <c r="P14" s="92">
        <v>1</v>
      </c>
      <c r="Q14" s="92">
        <v>0.8</v>
      </c>
      <c r="R14" s="91">
        <v>0.95</v>
      </c>
      <c r="S14" s="92">
        <v>1</v>
      </c>
      <c r="U14" s="248">
        <f t="shared" si="1"/>
        <v>103</v>
      </c>
      <c r="V14" s="249">
        <v>0.3766</v>
      </c>
      <c r="W14" s="239">
        <v>0.0112</v>
      </c>
      <c r="X14" s="240" t="s">
        <v>123</v>
      </c>
      <c r="Y14" s="240">
        <v>4.11</v>
      </c>
      <c r="Z14" s="240">
        <v>0.25</v>
      </c>
      <c r="AA14" s="241" t="s">
        <v>263</v>
      </c>
    </row>
    <row r="15" spans="2:27" ht="11.25" customHeight="1">
      <c r="B15" s="273">
        <v>104</v>
      </c>
      <c r="C15" s="274" t="s">
        <v>44</v>
      </c>
      <c r="D15" s="275"/>
      <c r="E15" s="274" t="s">
        <v>69</v>
      </c>
      <c r="F15" s="275"/>
      <c r="G15" s="274">
        <v>150</v>
      </c>
      <c r="H15" s="275"/>
      <c r="I15" s="274">
        <v>4.64</v>
      </c>
      <c r="J15" s="275"/>
      <c r="K15" s="273">
        <f t="shared" si="0"/>
        <v>104</v>
      </c>
      <c r="L15" s="40"/>
      <c r="M15" s="92">
        <v>0.98</v>
      </c>
      <c r="N15" s="286" t="s">
        <v>280</v>
      </c>
      <c r="O15" s="92">
        <v>0.98</v>
      </c>
      <c r="P15" s="92">
        <v>1</v>
      </c>
      <c r="Q15" s="92">
        <v>0.8</v>
      </c>
      <c r="R15" s="91">
        <v>0.95</v>
      </c>
      <c r="S15" s="92">
        <v>1</v>
      </c>
      <c r="U15" s="248">
        <f t="shared" si="1"/>
        <v>104</v>
      </c>
      <c r="V15" s="249">
        <v>0.3114</v>
      </c>
      <c r="W15" s="239">
        <v>0.0112</v>
      </c>
      <c r="X15" s="240" t="s">
        <v>123</v>
      </c>
      <c r="Y15" s="240">
        <v>4.94</v>
      </c>
      <c r="Z15" s="240">
        <v>0.25</v>
      </c>
      <c r="AA15" s="241" t="s">
        <v>263</v>
      </c>
    </row>
    <row r="16" spans="2:27" ht="11.25" customHeight="1">
      <c r="B16" s="273">
        <v>105</v>
      </c>
      <c r="C16" s="274" t="s">
        <v>44</v>
      </c>
      <c r="D16" s="275"/>
      <c r="E16" s="274" t="s">
        <v>72</v>
      </c>
      <c r="F16" s="275"/>
      <c r="G16" s="274">
        <v>75</v>
      </c>
      <c r="H16" s="275"/>
      <c r="I16" s="274">
        <v>2.197</v>
      </c>
      <c r="J16" s="275"/>
      <c r="K16" s="273">
        <f t="shared" si="0"/>
        <v>105</v>
      </c>
      <c r="L16" s="41"/>
      <c r="M16" s="92">
        <v>0.98</v>
      </c>
      <c r="N16" s="286" t="s">
        <v>280</v>
      </c>
      <c r="O16" s="92">
        <v>0.98</v>
      </c>
      <c r="P16" s="92">
        <v>1</v>
      </c>
      <c r="Q16" s="92">
        <v>0.8</v>
      </c>
      <c r="R16" s="91">
        <v>0.95</v>
      </c>
      <c r="S16" s="92">
        <v>1</v>
      </c>
      <c r="U16" s="248">
        <f t="shared" si="1"/>
        <v>105</v>
      </c>
      <c r="V16" s="249">
        <v>0.604</v>
      </c>
      <c r="W16" s="239">
        <v>0.0112</v>
      </c>
      <c r="X16" s="240" t="s">
        <v>123</v>
      </c>
      <c r="Y16" s="240">
        <v>2.5</v>
      </c>
      <c r="Z16" s="240">
        <v>0.25</v>
      </c>
      <c r="AA16" s="241" t="s">
        <v>263</v>
      </c>
    </row>
    <row r="17" spans="2:27" ht="11.25" customHeight="1">
      <c r="B17" s="273">
        <v>106</v>
      </c>
      <c r="C17" s="274" t="s">
        <v>44</v>
      </c>
      <c r="D17" s="275"/>
      <c r="E17" s="274" t="s">
        <v>73</v>
      </c>
      <c r="F17" s="275"/>
      <c r="G17" s="274">
        <v>100</v>
      </c>
      <c r="H17" s="275"/>
      <c r="I17" s="274">
        <v>2.863</v>
      </c>
      <c r="J17" s="275"/>
      <c r="K17" s="273">
        <f t="shared" si="0"/>
        <v>106</v>
      </c>
      <c r="L17" s="38"/>
      <c r="M17" s="92">
        <v>0.98</v>
      </c>
      <c r="N17" s="286" t="s">
        <v>280</v>
      </c>
      <c r="O17" s="92">
        <v>0.98</v>
      </c>
      <c r="P17" s="92">
        <v>1</v>
      </c>
      <c r="Q17" s="92">
        <v>0.8</v>
      </c>
      <c r="R17" s="91">
        <v>0.95</v>
      </c>
      <c r="S17" s="92">
        <v>1</v>
      </c>
      <c r="U17" s="248">
        <f t="shared" si="1"/>
        <v>106</v>
      </c>
      <c r="V17" s="249">
        <v>0.4762</v>
      </c>
      <c r="W17" s="239">
        <v>0.0112</v>
      </c>
      <c r="X17" s="240" t="s">
        <v>123</v>
      </c>
      <c r="Y17" s="240">
        <v>3.17</v>
      </c>
      <c r="Z17" s="240">
        <v>0.25</v>
      </c>
      <c r="AA17" s="241" t="s">
        <v>263</v>
      </c>
    </row>
    <row r="18" spans="2:27" ht="11.25" customHeight="1">
      <c r="B18" s="273">
        <v>107</v>
      </c>
      <c r="C18" s="274" t="s">
        <v>129</v>
      </c>
      <c r="D18" s="275"/>
      <c r="E18" s="274" t="s">
        <v>64</v>
      </c>
      <c r="F18" s="275"/>
      <c r="G18" s="274">
        <v>100</v>
      </c>
      <c r="H18" s="275"/>
      <c r="I18" s="274">
        <v>2.973</v>
      </c>
      <c r="J18" s="275"/>
      <c r="K18" s="273">
        <f t="shared" si="0"/>
        <v>107</v>
      </c>
      <c r="L18" s="38"/>
      <c r="M18" s="92">
        <v>0.98</v>
      </c>
      <c r="N18" s="286" t="s">
        <v>280</v>
      </c>
      <c r="O18" s="92">
        <v>0.98</v>
      </c>
      <c r="P18" s="92">
        <v>1</v>
      </c>
      <c r="Q18" s="92">
        <v>0.8</v>
      </c>
      <c r="R18" s="91">
        <v>0.95</v>
      </c>
      <c r="S18" s="92">
        <v>1</v>
      </c>
      <c r="U18" s="248">
        <f t="shared" si="1"/>
        <v>107</v>
      </c>
      <c r="V18" s="249">
        <v>0.4762</v>
      </c>
      <c r="W18" s="239">
        <v>0.0112</v>
      </c>
      <c r="X18" s="240" t="s">
        <v>123</v>
      </c>
      <c r="Y18" s="240">
        <v>3.27</v>
      </c>
      <c r="Z18" s="240">
        <v>0.25</v>
      </c>
      <c r="AA18" s="241" t="s">
        <v>263</v>
      </c>
    </row>
    <row r="19" spans="2:27" ht="11.25" customHeight="1">
      <c r="B19" s="273">
        <v>108</v>
      </c>
      <c r="C19" s="274" t="s">
        <v>129</v>
      </c>
      <c r="D19" s="275"/>
      <c r="E19" s="274" t="s">
        <v>65</v>
      </c>
      <c r="F19" s="275"/>
      <c r="G19" s="274">
        <v>125</v>
      </c>
      <c r="H19" s="275"/>
      <c r="I19" s="274">
        <v>3.807</v>
      </c>
      <c r="J19" s="275"/>
      <c r="K19" s="273">
        <f t="shared" si="0"/>
        <v>108</v>
      </c>
      <c r="L19" s="38"/>
      <c r="M19" s="92">
        <v>0.98</v>
      </c>
      <c r="N19" s="286" t="s">
        <v>280</v>
      </c>
      <c r="O19" s="92">
        <v>0.98</v>
      </c>
      <c r="P19" s="92">
        <v>1</v>
      </c>
      <c r="Q19" s="92">
        <v>0.8</v>
      </c>
      <c r="R19" s="91">
        <v>0.95</v>
      </c>
      <c r="S19" s="92">
        <v>1</v>
      </c>
      <c r="U19" s="248">
        <f t="shared" si="1"/>
        <v>108</v>
      </c>
      <c r="V19" s="249">
        <v>0.3766</v>
      </c>
      <c r="W19" s="239">
        <v>0.0112</v>
      </c>
      <c r="X19" s="240" t="s">
        <v>123</v>
      </c>
      <c r="Y19" s="240">
        <v>4.11</v>
      </c>
      <c r="Z19" s="240">
        <v>0.25</v>
      </c>
      <c r="AA19" s="241" t="s">
        <v>263</v>
      </c>
    </row>
    <row r="20" spans="2:27" ht="11.25" customHeight="1">
      <c r="B20" s="273">
        <v>109</v>
      </c>
      <c r="C20" s="274" t="s">
        <v>129</v>
      </c>
      <c r="D20" s="275"/>
      <c r="E20" s="274" t="s">
        <v>66</v>
      </c>
      <c r="F20" s="275"/>
      <c r="G20" s="274">
        <v>150</v>
      </c>
      <c r="H20" s="275"/>
      <c r="I20" s="274">
        <v>4.64</v>
      </c>
      <c r="J20" s="275"/>
      <c r="K20" s="273">
        <f t="shared" si="0"/>
        <v>109</v>
      </c>
      <c r="L20" s="39"/>
      <c r="M20" s="92">
        <v>0.98</v>
      </c>
      <c r="N20" s="286" t="s">
        <v>280</v>
      </c>
      <c r="O20" s="92">
        <v>0.98</v>
      </c>
      <c r="P20" s="92">
        <v>1</v>
      </c>
      <c r="Q20" s="92">
        <v>0.8</v>
      </c>
      <c r="R20" s="91">
        <v>0.95</v>
      </c>
      <c r="S20" s="92">
        <v>1</v>
      </c>
      <c r="U20" s="248">
        <f t="shared" si="1"/>
        <v>109</v>
      </c>
      <c r="V20" s="249">
        <v>0.3114</v>
      </c>
      <c r="W20" s="239">
        <v>0.0112</v>
      </c>
      <c r="X20" s="240" t="s">
        <v>123</v>
      </c>
      <c r="Y20" s="240">
        <v>4.94</v>
      </c>
      <c r="Z20" s="240">
        <v>0.25</v>
      </c>
      <c r="AA20" s="241" t="s">
        <v>263</v>
      </c>
    </row>
    <row r="21" spans="2:27" ht="11.25" customHeight="1">
      <c r="B21" s="273">
        <v>110</v>
      </c>
      <c r="C21" s="274" t="s">
        <v>129</v>
      </c>
      <c r="D21" s="275"/>
      <c r="E21" s="274" t="s">
        <v>70</v>
      </c>
      <c r="F21" s="275"/>
      <c r="G21" s="274">
        <v>75</v>
      </c>
      <c r="H21" s="275"/>
      <c r="I21" s="274">
        <v>2.197</v>
      </c>
      <c r="J21" s="275"/>
      <c r="K21" s="273">
        <f t="shared" si="0"/>
        <v>110</v>
      </c>
      <c r="L21" s="40"/>
      <c r="M21" s="92">
        <v>0.98</v>
      </c>
      <c r="N21" s="286" t="s">
        <v>280</v>
      </c>
      <c r="O21" s="92">
        <v>0.98</v>
      </c>
      <c r="P21" s="92">
        <v>1</v>
      </c>
      <c r="Q21" s="92">
        <v>0.8</v>
      </c>
      <c r="R21" s="91">
        <v>0.95</v>
      </c>
      <c r="S21" s="92">
        <v>1</v>
      </c>
      <c r="U21" s="248">
        <f t="shared" si="1"/>
        <v>110</v>
      </c>
      <c r="V21" s="249">
        <v>0.604</v>
      </c>
      <c r="W21" s="239">
        <v>0.0112</v>
      </c>
      <c r="X21" s="240" t="s">
        <v>123</v>
      </c>
      <c r="Y21" s="240">
        <v>2.5</v>
      </c>
      <c r="Z21" s="240">
        <v>0.25</v>
      </c>
      <c r="AA21" s="241" t="s">
        <v>263</v>
      </c>
    </row>
    <row r="22" spans="2:27" ht="11.25" customHeight="1">
      <c r="B22" s="273">
        <v>111</v>
      </c>
      <c r="C22" s="274" t="s">
        <v>129</v>
      </c>
      <c r="D22" s="275"/>
      <c r="E22" s="274" t="s">
        <v>71</v>
      </c>
      <c r="F22" s="275"/>
      <c r="G22" s="274">
        <v>100</v>
      </c>
      <c r="H22" s="275"/>
      <c r="I22" s="274">
        <v>2.863</v>
      </c>
      <c r="J22" s="275"/>
      <c r="K22" s="273">
        <f t="shared" si="0"/>
        <v>111</v>
      </c>
      <c r="L22" s="41"/>
      <c r="M22" s="92">
        <v>0.98</v>
      </c>
      <c r="N22" s="286" t="s">
        <v>280</v>
      </c>
      <c r="O22" s="92">
        <v>0.98</v>
      </c>
      <c r="P22" s="92">
        <v>1</v>
      </c>
      <c r="Q22" s="92">
        <v>0.8</v>
      </c>
      <c r="R22" s="91">
        <v>0.95</v>
      </c>
      <c r="S22" s="92">
        <v>1</v>
      </c>
      <c r="U22" s="248">
        <f t="shared" si="1"/>
        <v>111</v>
      </c>
      <c r="V22" s="249">
        <v>0.4762</v>
      </c>
      <c r="W22" s="239">
        <v>0.0112</v>
      </c>
      <c r="X22" s="240" t="s">
        <v>123</v>
      </c>
      <c r="Y22" s="240">
        <v>3.17</v>
      </c>
      <c r="Z22" s="240">
        <v>0.25</v>
      </c>
      <c r="AA22" s="241" t="s">
        <v>263</v>
      </c>
    </row>
    <row r="23" spans="2:27" ht="11.25" customHeight="1">
      <c r="B23" s="273">
        <v>112</v>
      </c>
      <c r="C23" s="274" t="s">
        <v>44</v>
      </c>
      <c r="D23" s="275"/>
      <c r="E23" s="274" t="s">
        <v>248</v>
      </c>
      <c r="F23" s="275"/>
      <c r="G23" s="274">
        <v>115</v>
      </c>
      <c r="H23" s="275"/>
      <c r="I23" s="274">
        <v>3.525</v>
      </c>
      <c r="J23" s="275"/>
      <c r="K23" s="273">
        <f t="shared" si="0"/>
        <v>112</v>
      </c>
      <c r="L23" s="41"/>
      <c r="M23" s="92">
        <v>0.98</v>
      </c>
      <c r="N23" s="92">
        <v>0.98</v>
      </c>
      <c r="O23" s="92">
        <v>0.98</v>
      </c>
      <c r="P23" s="92">
        <v>1</v>
      </c>
      <c r="Q23" s="92">
        <v>0.8</v>
      </c>
      <c r="R23" s="91">
        <v>0.95</v>
      </c>
      <c r="S23" s="92">
        <v>1</v>
      </c>
      <c r="U23" s="248">
        <f t="shared" si="1"/>
        <v>112</v>
      </c>
      <c r="V23" s="249">
        <v>0.502</v>
      </c>
      <c r="W23" s="239">
        <v>0.0155</v>
      </c>
      <c r="X23" s="240" t="s">
        <v>123</v>
      </c>
      <c r="Y23" s="240">
        <v>3.833</v>
      </c>
      <c r="Z23" s="240">
        <v>0.25</v>
      </c>
      <c r="AA23" s="283" t="s">
        <v>265</v>
      </c>
    </row>
    <row r="24" spans="2:27" ht="11.25" customHeight="1">
      <c r="B24" s="273">
        <v>113</v>
      </c>
      <c r="C24" s="274" t="s">
        <v>44</v>
      </c>
      <c r="D24" s="275"/>
      <c r="E24" s="274" t="s">
        <v>249</v>
      </c>
      <c r="F24" s="275"/>
      <c r="G24" s="274">
        <v>140</v>
      </c>
      <c r="H24" s="275"/>
      <c r="I24" s="274">
        <v>4.359</v>
      </c>
      <c r="J24" s="275"/>
      <c r="K24" s="273">
        <f t="shared" si="0"/>
        <v>113</v>
      </c>
      <c r="L24" s="41"/>
      <c r="M24" s="92">
        <v>0.98</v>
      </c>
      <c r="N24" s="92">
        <v>0.98</v>
      </c>
      <c r="O24" s="92">
        <v>0.98</v>
      </c>
      <c r="P24" s="92">
        <v>1</v>
      </c>
      <c r="Q24" s="92">
        <v>0.8</v>
      </c>
      <c r="R24" s="91">
        <v>0.95</v>
      </c>
      <c r="S24" s="92">
        <v>1</v>
      </c>
      <c r="U24" s="248">
        <f t="shared" si="1"/>
        <v>113</v>
      </c>
      <c r="V24" s="249">
        <v>0.522</v>
      </c>
      <c r="W24" s="239">
        <v>0.0155</v>
      </c>
      <c r="X24" s="240" t="s">
        <v>123</v>
      </c>
      <c r="Y24" s="240">
        <v>4.667</v>
      </c>
      <c r="Z24" s="240">
        <v>0.25</v>
      </c>
      <c r="AA24" s="283" t="s">
        <v>265</v>
      </c>
    </row>
    <row r="25" spans="2:27" ht="11.25" customHeight="1">
      <c r="B25" s="273">
        <v>114</v>
      </c>
      <c r="C25" s="274" t="s">
        <v>44</v>
      </c>
      <c r="D25" s="275"/>
      <c r="E25" s="274" t="s">
        <v>250</v>
      </c>
      <c r="F25" s="275"/>
      <c r="G25" s="274">
        <v>75</v>
      </c>
      <c r="H25" s="275"/>
      <c r="I25" s="274">
        <v>2.177</v>
      </c>
      <c r="J25" s="275"/>
      <c r="K25" s="273">
        <f t="shared" si="0"/>
        <v>114</v>
      </c>
      <c r="L25" s="41"/>
      <c r="M25" s="92">
        <v>0.98</v>
      </c>
      <c r="N25" s="286" t="s">
        <v>280</v>
      </c>
      <c r="O25" s="92">
        <v>0.98</v>
      </c>
      <c r="P25" s="92">
        <v>1</v>
      </c>
      <c r="Q25" s="92">
        <v>0.8</v>
      </c>
      <c r="R25" s="91">
        <v>0.95</v>
      </c>
      <c r="S25" s="92">
        <v>1</v>
      </c>
      <c r="U25" s="248">
        <f t="shared" si="1"/>
        <v>114</v>
      </c>
      <c r="V25" s="249">
        <v>0.604</v>
      </c>
      <c r="W25" s="239">
        <v>0.012</v>
      </c>
      <c r="X25" s="240" t="s">
        <v>123</v>
      </c>
      <c r="Y25" s="240">
        <v>2.5</v>
      </c>
      <c r="Z25" s="240">
        <v>0.25</v>
      </c>
      <c r="AA25" s="241" t="s">
        <v>263</v>
      </c>
    </row>
    <row r="26" spans="2:27" ht="11.25" customHeight="1">
      <c r="B26" s="273">
        <v>115</v>
      </c>
      <c r="C26" s="274" t="s">
        <v>44</v>
      </c>
      <c r="D26" s="275"/>
      <c r="E26" s="274" t="s">
        <v>251</v>
      </c>
      <c r="F26" s="275"/>
      <c r="G26" s="274">
        <v>100</v>
      </c>
      <c r="H26" s="275"/>
      <c r="I26" s="274">
        <v>2.843</v>
      </c>
      <c r="J26" s="275"/>
      <c r="K26" s="273">
        <f t="shared" si="0"/>
        <v>115</v>
      </c>
      <c r="L26" s="41"/>
      <c r="M26" s="92">
        <v>0.98</v>
      </c>
      <c r="N26" s="286" t="s">
        <v>280</v>
      </c>
      <c r="O26" s="92">
        <v>0.98</v>
      </c>
      <c r="P26" s="92">
        <v>1</v>
      </c>
      <c r="Q26" s="92">
        <v>0.8</v>
      </c>
      <c r="R26" s="91">
        <v>0.95</v>
      </c>
      <c r="S26" s="92">
        <v>1</v>
      </c>
      <c r="U26" s="248">
        <f t="shared" si="1"/>
        <v>115</v>
      </c>
      <c r="V26" s="249">
        <v>0.476</v>
      </c>
      <c r="W26" s="239">
        <v>0.012</v>
      </c>
      <c r="X26" s="240" t="s">
        <v>123</v>
      </c>
      <c r="Y26" s="240">
        <v>3.167</v>
      </c>
      <c r="Z26" s="240">
        <v>0.25</v>
      </c>
      <c r="AA26" s="241" t="s">
        <v>263</v>
      </c>
    </row>
    <row r="27" spans="2:27" ht="11.25" customHeight="1">
      <c r="B27" s="273">
        <v>116</v>
      </c>
      <c r="C27" s="274" t="s">
        <v>129</v>
      </c>
      <c r="D27" s="275"/>
      <c r="E27" s="274" t="s">
        <v>252</v>
      </c>
      <c r="F27" s="275"/>
      <c r="G27" s="274">
        <v>115</v>
      </c>
      <c r="H27" s="275"/>
      <c r="I27" s="274">
        <v>3.397</v>
      </c>
      <c r="J27" s="275"/>
      <c r="K27" s="273">
        <f t="shared" si="0"/>
        <v>116</v>
      </c>
      <c r="M27" s="92">
        <v>0.98</v>
      </c>
      <c r="N27" s="92">
        <v>0.98</v>
      </c>
      <c r="O27" s="92">
        <v>0.98</v>
      </c>
      <c r="P27" s="92">
        <v>1</v>
      </c>
      <c r="Q27" s="92">
        <v>0.8</v>
      </c>
      <c r="R27" s="91">
        <v>0.95</v>
      </c>
      <c r="S27" s="92">
        <v>1</v>
      </c>
      <c r="U27" s="248">
        <f t="shared" si="1"/>
        <v>116</v>
      </c>
      <c r="V27" s="249">
        <v>0.522</v>
      </c>
      <c r="W27" s="239">
        <v>0.0155</v>
      </c>
      <c r="X27" s="240" t="s">
        <v>123</v>
      </c>
      <c r="Y27" s="240">
        <v>4.667</v>
      </c>
      <c r="Z27" s="240">
        <v>0.25</v>
      </c>
      <c r="AA27" s="283" t="s">
        <v>265</v>
      </c>
    </row>
    <row r="28" spans="2:27" ht="11.25" customHeight="1">
      <c r="B28" s="273">
        <v>117</v>
      </c>
      <c r="C28" s="274" t="s">
        <v>129</v>
      </c>
      <c r="D28" s="275"/>
      <c r="E28" s="274" t="s">
        <v>253</v>
      </c>
      <c r="F28" s="275"/>
      <c r="G28" s="274">
        <v>140</v>
      </c>
      <c r="H28" s="275"/>
      <c r="I28" s="274">
        <v>4.23</v>
      </c>
      <c r="J28" s="275"/>
      <c r="K28" s="273">
        <f t="shared" si="0"/>
        <v>117</v>
      </c>
      <c r="M28" s="92">
        <v>0.98</v>
      </c>
      <c r="N28" s="92">
        <v>0.98</v>
      </c>
      <c r="O28" s="92">
        <v>0.98</v>
      </c>
      <c r="P28" s="92">
        <v>1</v>
      </c>
      <c r="Q28" s="92">
        <v>0.8</v>
      </c>
      <c r="R28" s="91">
        <v>0.95</v>
      </c>
      <c r="S28" s="92">
        <v>1</v>
      </c>
      <c r="U28" s="248">
        <f t="shared" si="1"/>
        <v>117</v>
      </c>
      <c r="V28" s="249">
        <v>0.604</v>
      </c>
      <c r="W28" s="239">
        <v>0.012</v>
      </c>
      <c r="X28" s="240" t="s">
        <v>123</v>
      </c>
      <c r="Y28" s="240">
        <v>2.5</v>
      </c>
      <c r="Z28" s="240">
        <v>0.25</v>
      </c>
      <c r="AA28" s="283" t="s">
        <v>265</v>
      </c>
    </row>
    <row r="29" spans="2:27" ht="11.25" customHeight="1">
      <c r="B29" s="273">
        <v>118</v>
      </c>
      <c r="C29" s="274" t="s">
        <v>129</v>
      </c>
      <c r="D29" s="275"/>
      <c r="E29" s="274" t="s">
        <v>254</v>
      </c>
      <c r="F29" s="275"/>
      <c r="G29" s="274">
        <v>75</v>
      </c>
      <c r="H29" s="275"/>
      <c r="I29" s="274">
        <v>2.197</v>
      </c>
      <c r="J29" s="275"/>
      <c r="K29" s="273">
        <f t="shared" si="0"/>
        <v>118</v>
      </c>
      <c r="L29" s="41"/>
      <c r="M29" s="92">
        <v>0.98</v>
      </c>
      <c r="N29" s="286" t="s">
        <v>280</v>
      </c>
      <c r="O29" s="92">
        <v>0.98</v>
      </c>
      <c r="P29" s="92">
        <v>1</v>
      </c>
      <c r="Q29" s="92">
        <v>0.8</v>
      </c>
      <c r="R29" s="91">
        <v>0.95</v>
      </c>
      <c r="S29" s="92">
        <v>1</v>
      </c>
      <c r="U29" s="248">
        <f t="shared" si="1"/>
        <v>118</v>
      </c>
      <c r="V29" s="249">
        <v>0.604</v>
      </c>
      <c r="W29" s="239">
        <v>0.012</v>
      </c>
      <c r="X29" s="240" t="s">
        <v>123</v>
      </c>
      <c r="Y29" s="240">
        <v>2.5</v>
      </c>
      <c r="Z29" s="240">
        <v>0.25</v>
      </c>
      <c r="AA29" s="283" t="s">
        <v>263</v>
      </c>
    </row>
    <row r="30" spans="2:27" ht="11.25" customHeight="1">
      <c r="B30" s="273">
        <v>119</v>
      </c>
      <c r="C30" s="274" t="s">
        <v>129</v>
      </c>
      <c r="D30" s="275"/>
      <c r="E30" s="274" t="s">
        <v>255</v>
      </c>
      <c r="F30" s="275"/>
      <c r="G30" s="274">
        <v>100</v>
      </c>
      <c r="H30" s="275"/>
      <c r="I30" s="274">
        <v>2.863</v>
      </c>
      <c r="J30" s="275"/>
      <c r="K30" s="273">
        <f t="shared" si="0"/>
        <v>119</v>
      </c>
      <c r="M30" s="92">
        <v>0.98</v>
      </c>
      <c r="N30" s="286" t="s">
        <v>280</v>
      </c>
      <c r="O30" s="92">
        <v>0.98</v>
      </c>
      <c r="P30" s="92">
        <v>1</v>
      </c>
      <c r="Q30" s="92">
        <v>0.8</v>
      </c>
      <c r="R30" s="91">
        <v>0.95</v>
      </c>
      <c r="S30" s="92">
        <v>1</v>
      </c>
      <c r="U30" s="248">
        <f t="shared" si="1"/>
        <v>119</v>
      </c>
      <c r="V30" s="249">
        <v>0.476</v>
      </c>
      <c r="W30" s="239">
        <v>0.012</v>
      </c>
      <c r="X30" s="240" t="s">
        <v>123</v>
      </c>
      <c r="Y30" s="240">
        <v>3.167</v>
      </c>
      <c r="Z30" s="240">
        <v>0.25</v>
      </c>
      <c r="AA30" s="241" t="s">
        <v>263</v>
      </c>
    </row>
    <row r="31" spans="2:27" ht="11.25" customHeight="1">
      <c r="B31" s="273">
        <v>120</v>
      </c>
      <c r="C31" s="274"/>
      <c r="D31" s="275"/>
      <c r="E31" s="274"/>
      <c r="F31" s="275"/>
      <c r="G31" s="274"/>
      <c r="H31" s="275"/>
      <c r="I31" s="274"/>
      <c r="J31" s="275"/>
      <c r="K31" s="273">
        <f t="shared" si="0"/>
        <v>120</v>
      </c>
      <c r="M31" s="92"/>
      <c r="N31" s="92"/>
      <c r="O31" s="92"/>
      <c r="P31" s="92"/>
      <c r="Q31" s="92"/>
      <c r="R31" s="92"/>
      <c r="S31" s="92"/>
      <c r="U31" s="248">
        <f t="shared" si="1"/>
        <v>120</v>
      </c>
      <c r="V31" s="249"/>
      <c r="W31" s="239"/>
      <c r="X31" s="240"/>
      <c r="Y31" s="240"/>
      <c r="Z31" s="240"/>
      <c r="AA31" s="241"/>
    </row>
    <row r="32" spans="2:27" ht="11.25" customHeight="1">
      <c r="B32" s="273">
        <v>121</v>
      </c>
      <c r="C32" s="274"/>
      <c r="D32" s="275"/>
      <c r="E32" s="274"/>
      <c r="F32" s="275"/>
      <c r="G32" s="274"/>
      <c r="H32" s="275"/>
      <c r="I32" s="274"/>
      <c r="J32" s="275"/>
      <c r="K32" s="273">
        <f t="shared" si="0"/>
        <v>121</v>
      </c>
      <c r="M32" s="96"/>
      <c r="N32" s="96"/>
      <c r="O32" s="96"/>
      <c r="P32" s="92"/>
      <c r="Q32" s="96"/>
      <c r="R32" s="99"/>
      <c r="S32" s="96"/>
      <c r="U32" s="248">
        <f t="shared" si="1"/>
        <v>121</v>
      </c>
      <c r="V32" s="249"/>
      <c r="W32" s="239"/>
      <c r="X32" s="240"/>
      <c r="Y32" s="240"/>
      <c r="Z32" s="240"/>
      <c r="AA32" s="280"/>
    </row>
    <row r="33" spans="2:27" ht="11.25" customHeight="1">
      <c r="B33" s="273">
        <v>122</v>
      </c>
      <c r="C33" s="274"/>
      <c r="D33" s="275"/>
      <c r="E33" s="274"/>
      <c r="F33" s="275"/>
      <c r="G33" s="274"/>
      <c r="H33" s="275"/>
      <c r="I33" s="274"/>
      <c r="J33" s="275"/>
      <c r="K33" s="273">
        <f t="shared" si="0"/>
        <v>122</v>
      </c>
      <c r="M33" s="96"/>
      <c r="N33" s="96"/>
      <c r="O33" s="96"/>
      <c r="P33" s="92"/>
      <c r="Q33" s="96"/>
      <c r="R33" s="99"/>
      <c r="S33" s="96"/>
      <c r="U33" s="248">
        <f t="shared" si="1"/>
        <v>122</v>
      </c>
      <c r="V33" s="249"/>
      <c r="W33" s="239"/>
      <c r="X33" s="240"/>
      <c r="Y33" s="240"/>
      <c r="Z33" s="240"/>
      <c r="AA33" s="280"/>
    </row>
    <row r="34" spans="2:27" ht="11.25" customHeight="1">
      <c r="B34" s="273">
        <v>123</v>
      </c>
      <c r="C34" s="274"/>
      <c r="D34" s="275"/>
      <c r="E34" s="274"/>
      <c r="F34" s="275"/>
      <c r="G34" s="274"/>
      <c r="H34" s="275"/>
      <c r="I34" s="274"/>
      <c r="J34" s="275"/>
      <c r="K34" s="273">
        <f t="shared" si="0"/>
        <v>123</v>
      </c>
      <c r="M34" s="96"/>
      <c r="N34" s="96"/>
      <c r="O34" s="96"/>
      <c r="P34" s="92"/>
      <c r="Q34" s="96"/>
      <c r="R34" s="99"/>
      <c r="S34" s="96"/>
      <c r="U34" s="248">
        <f t="shared" si="1"/>
        <v>123</v>
      </c>
      <c r="V34" s="249"/>
      <c r="W34" s="239"/>
      <c r="X34" s="240"/>
      <c r="Y34" s="240"/>
      <c r="Z34" s="240"/>
      <c r="AA34" s="280"/>
    </row>
    <row r="35" spans="2:27" ht="12.75">
      <c r="B35" s="273">
        <v>124</v>
      </c>
      <c r="C35" s="274"/>
      <c r="D35" s="275"/>
      <c r="E35" s="274"/>
      <c r="F35" s="275"/>
      <c r="G35" s="274"/>
      <c r="H35" s="275"/>
      <c r="I35" s="274"/>
      <c r="J35" s="275"/>
      <c r="K35" s="273">
        <f t="shared" si="0"/>
        <v>124</v>
      </c>
      <c r="M35" s="96"/>
      <c r="N35" s="96"/>
      <c r="O35" s="96"/>
      <c r="P35" s="92"/>
      <c r="Q35" s="96"/>
      <c r="R35" s="99"/>
      <c r="S35" s="96"/>
      <c r="U35" s="248">
        <f t="shared" si="1"/>
        <v>124</v>
      </c>
      <c r="V35" s="249"/>
      <c r="W35" s="239"/>
      <c r="X35" s="240"/>
      <c r="Y35" s="240"/>
      <c r="Z35" s="240"/>
      <c r="AA35" s="280"/>
    </row>
    <row r="36" spans="2:27" ht="12.75">
      <c r="B36" s="273">
        <v>125</v>
      </c>
      <c r="C36" s="274"/>
      <c r="D36" s="275"/>
      <c r="E36" s="274"/>
      <c r="F36" s="275"/>
      <c r="G36" s="274"/>
      <c r="H36" s="275"/>
      <c r="I36" s="274"/>
      <c r="J36" s="275"/>
      <c r="K36" s="273">
        <f t="shared" si="0"/>
        <v>125</v>
      </c>
      <c r="M36" s="96"/>
      <c r="N36" s="96"/>
      <c r="O36" s="96"/>
      <c r="P36" s="96"/>
      <c r="Q36" s="96"/>
      <c r="R36" s="99"/>
      <c r="S36" s="96"/>
      <c r="U36" s="248">
        <f t="shared" si="1"/>
        <v>125</v>
      </c>
      <c r="V36" s="249"/>
      <c r="W36" s="239"/>
      <c r="X36" s="240"/>
      <c r="Y36" s="240"/>
      <c r="Z36" s="240"/>
      <c r="AA36" s="280"/>
    </row>
    <row r="37" spans="2:27" ht="13.5" customHeight="1">
      <c r="B37" s="273">
        <v>126</v>
      </c>
      <c r="C37" s="274"/>
      <c r="D37" s="275"/>
      <c r="E37" s="274"/>
      <c r="F37" s="275"/>
      <c r="G37" s="274"/>
      <c r="H37" s="275"/>
      <c r="I37" s="274"/>
      <c r="J37" s="275"/>
      <c r="K37" s="273">
        <f t="shared" si="0"/>
        <v>126</v>
      </c>
      <c r="M37" s="96"/>
      <c r="N37" s="96"/>
      <c r="O37" s="96"/>
      <c r="P37" s="96"/>
      <c r="Q37" s="96"/>
      <c r="R37" s="99"/>
      <c r="S37" s="96"/>
      <c r="U37" s="248">
        <f t="shared" si="1"/>
        <v>126</v>
      </c>
      <c r="V37" s="249"/>
      <c r="W37" s="239"/>
      <c r="X37" s="240"/>
      <c r="Y37" s="240"/>
      <c r="Z37" s="240"/>
      <c r="AA37" s="280"/>
    </row>
    <row r="38" spans="2:27" ht="11.25" customHeight="1">
      <c r="B38" s="273">
        <v>127</v>
      </c>
      <c r="C38" s="274"/>
      <c r="D38" s="275"/>
      <c r="E38" s="274"/>
      <c r="F38" s="275"/>
      <c r="G38" s="274"/>
      <c r="H38" s="275"/>
      <c r="I38" s="274"/>
      <c r="J38" s="275"/>
      <c r="K38" s="273">
        <f t="shared" si="0"/>
        <v>127</v>
      </c>
      <c r="M38" s="96"/>
      <c r="N38" s="96"/>
      <c r="O38" s="96"/>
      <c r="P38" s="96"/>
      <c r="Q38" s="96"/>
      <c r="R38" s="99"/>
      <c r="S38" s="96"/>
      <c r="U38" s="248">
        <f t="shared" si="1"/>
        <v>127</v>
      </c>
      <c r="V38" s="249"/>
      <c r="W38" s="239"/>
      <c r="X38" s="240"/>
      <c r="Y38" s="240"/>
      <c r="Z38" s="240"/>
      <c r="AA38" s="280"/>
    </row>
    <row r="39" spans="2:27" ht="12.75">
      <c r="B39" s="273">
        <v>128</v>
      </c>
      <c r="C39" s="274"/>
      <c r="D39" s="275"/>
      <c r="E39" s="274"/>
      <c r="F39" s="275"/>
      <c r="G39" s="274"/>
      <c r="H39" s="275"/>
      <c r="I39" s="274"/>
      <c r="J39" s="275"/>
      <c r="K39" s="273">
        <f t="shared" si="0"/>
        <v>128</v>
      </c>
      <c r="M39" s="96"/>
      <c r="N39" s="96"/>
      <c r="O39" s="96"/>
      <c r="P39" s="96"/>
      <c r="Q39" s="96"/>
      <c r="R39" s="99"/>
      <c r="S39" s="96"/>
      <c r="U39" s="248">
        <f t="shared" si="1"/>
        <v>128</v>
      </c>
      <c r="V39" s="249"/>
      <c r="W39" s="239"/>
      <c r="X39" s="240"/>
      <c r="Y39" s="240"/>
      <c r="Z39" s="240"/>
      <c r="AA39" s="280"/>
    </row>
    <row r="40" spans="2:27" ht="12.75">
      <c r="B40" s="273">
        <v>129</v>
      </c>
      <c r="C40" s="274"/>
      <c r="D40" s="275"/>
      <c r="E40" s="274"/>
      <c r="F40" s="275"/>
      <c r="G40" s="274"/>
      <c r="H40" s="275"/>
      <c r="I40" s="274"/>
      <c r="J40" s="275"/>
      <c r="K40" s="273">
        <f t="shared" si="0"/>
        <v>129</v>
      </c>
      <c r="M40" s="96"/>
      <c r="N40" s="96"/>
      <c r="O40" s="96"/>
      <c r="P40" s="96"/>
      <c r="Q40" s="96"/>
      <c r="R40" s="99"/>
      <c r="S40" s="96"/>
      <c r="U40" s="248">
        <f t="shared" si="1"/>
        <v>129</v>
      </c>
      <c r="V40" s="249"/>
      <c r="W40" s="239"/>
      <c r="X40" s="240"/>
      <c r="Y40" s="240"/>
      <c r="Z40" s="240"/>
      <c r="AA40" s="280"/>
    </row>
    <row r="41" spans="2:27" ht="12.75">
      <c r="B41" s="273">
        <v>130</v>
      </c>
      <c r="C41" s="274"/>
      <c r="D41" s="275"/>
      <c r="E41" s="274"/>
      <c r="F41" s="275"/>
      <c r="G41" s="274"/>
      <c r="H41" s="275"/>
      <c r="I41" s="274"/>
      <c r="J41" s="275"/>
      <c r="K41" s="273">
        <f t="shared" si="0"/>
        <v>130</v>
      </c>
      <c r="M41" s="96"/>
      <c r="N41" s="96"/>
      <c r="O41" s="96"/>
      <c r="P41" s="96"/>
      <c r="Q41" s="96"/>
      <c r="R41" s="99"/>
      <c r="S41" s="96"/>
      <c r="U41" s="248">
        <f t="shared" si="1"/>
        <v>130</v>
      </c>
      <c r="V41" s="249"/>
      <c r="W41" s="239"/>
      <c r="X41" s="240"/>
      <c r="Y41" s="240"/>
      <c r="Z41" s="240"/>
      <c r="AA41" s="280"/>
    </row>
    <row r="42" spans="2:27" ht="12.75">
      <c r="B42" s="273">
        <v>131</v>
      </c>
      <c r="C42" s="274"/>
      <c r="D42" s="275"/>
      <c r="E42" s="274"/>
      <c r="F42" s="275"/>
      <c r="G42" s="274"/>
      <c r="H42" s="275"/>
      <c r="I42" s="274"/>
      <c r="J42" s="275"/>
      <c r="K42" s="273">
        <f t="shared" si="0"/>
        <v>131</v>
      </c>
      <c r="M42" s="96"/>
      <c r="N42" s="96"/>
      <c r="O42" s="96"/>
      <c r="P42" s="96"/>
      <c r="Q42" s="96"/>
      <c r="R42" s="99"/>
      <c r="S42" s="96"/>
      <c r="U42" s="248">
        <f t="shared" si="1"/>
        <v>131</v>
      </c>
      <c r="V42" s="249"/>
      <c r="W42" s="239"/>
      <c r="X42" s="240"/>
      <c r="Y42" s="240"/>
      <c r="Z42" s="240"/>
      <c r="AA42" s="280"/>
    </row>
    <row r="43" spans="2:27" ht="12.75">
      <c r="B43" s="273">
        <v>132</v>
      </c>
      <c r="C43" s="274"/>
      <c r="D43" s="275"/>
      <c r="E43" s="274"/>
      <c r="F43" s="275"/>
      <c r="G43" s="274"/>
      <c r="H43" s="275"/>
      <c r="I43" s="274"/>
      <c r="J43" s="275"/>
      <c r="K43" s="273">
        <f t="shared" si="0"/>
        <v>132</v>
      </c>
      <c r="M43" s="96"/>
      <c r="N43" s="96"/>
      <c r="O43" s="96"/>
      <c r="P43" s="96"/>
      <c r="Q43" s="96"/>
      <c r="R43" s="99"/>
      <c r="S43" s="96"/>
      <c r="U43" s="248">
        <f t="shared" si="1"/>
        <v>132</v>
      </c>
      <c r="V43" s="249"/>
      <c r="W43" s="239"/>
      <c r="X43" s="240"/>
      <c r="Y43" s="240"/>
      <c r="Z43" s="240"/>
      <c r="AA43" s="280"/>
    </row>
    <row r="44" spans="2:27" ht="12.75">
      <c r="B44" s="273">
        <v>133</v>
      </c>
      <c r="C44" s="274"/>
      <c r="D44" s="275"/>
      <c r="E44" s="274"/>
      <c r="F44" s="275"/>
      <c r="G44" s="274"/>
      <c r="H44" s="275"/>
      <c r="I44" s="274"/>
      <c r="J44" s="275"/>
      <c r="K44" s="273">
        <f t="shared" si="0"/>
        <v>133</v>
      </c>
      <c r="M44" s="96"/>
      <c r="N44" s="96"/>
      <c r="O44" s="96"/>
      <c r="P44" s="96"/>
      <c r="Q44" s="96"/>
      <c r="R44" s="99"/>
      <c r="S44" s="96"/>
      <c r="U44" s="248">
        <f t="shared" si="1"/>
        <v>133</v>
      </c>
      <c r="V44" s="249"/>
      <c r="W44" s="239"/>
      <c r="X44" s="240"/>
      <c r="Y44" s="240"/>
      <c r="Z44" s="240"/>
      <c r="AA44" s="280"/>
    </row>
    <row r="45" spans="2:27" ht="12.75">
      <c r="B45" s="273">
        <v>134</v>
      </c>
      <c r="C45" s="274"/>
      <c r="D45" s="275"/>
      <c r="E45" s="274"/>
      <c r="F45" s="275"/>
      <c r="G45" s="274"/>
      <c r="H45" s="275"/>
      <c r="I45" s="274"/>
      <c r="J45" s="275"/>
      <c r="K45" s="273">
        <f t="shared" si="0"/>
        <v>134</v>
      </c>
      <c r="M45" s="96"/>
      <c r="N45" s="96"/>
      <c r="O45" s="96"/>
      <c r="P45" s="96"/>
      <c r="Q45" s="96"/>
      <c r="R45" s="99"/>
      <c r="S45" s="96"/>
      <c r="U45" s="248">
        <f t="shared" si="1"/>
        <v>134</v>
      </c>
      <c r="V45" s="249"/>
      <c r="W45" s="239"/>
      <c r="X45" s="240"/>
      <c r="Y45" s="240"/>
      <c r="Z45" s="240"/>
      <c r="AA45" s="280"/>
    </row>
    <row r="46" spans="2:27" ht="12.75">
      <c r="B46" s="273">
        <v>135</v>
      </c>
      <c r="C46" s="274"/>
      <c r="D46" s="275"/>
      <c r="E46" s="274"/>
      <c r="F46" s="275"/>
      <c r="G46" s="274"/>
      <c r="H46" s="275"/>
      <c r="I46" s="274"/>
      <c r="J46" s="275"/>
      <c r="K46" s="273">
        <f t="shared" si="0"/>
        <v>135</v>
      </c>
      <c r="M46" s="96"/>
      <c r="N46" s="96"/>
      <c r="O46" s="96"/>
      <c r="P46" s="96"/>
      <c r="Q46" s="96"/>
      <c r="R46" s="99"/>
      <c r="S46" s="96"/>
      <c r="U46" s="248">
        <f t="shared" si="1"/>
        <v>135</v>
      </c>
      <c r="V46" s="249"/>
      <c r="W46" s="239"/>
      <c r="X46" s="240"/>
      <c r="Y46" s="240"/>
      <c r="Z46" s="240"/>
      <c r="AA46" s="280"/>
    </row>
    <row r="47" spans="2:27" ht="12.75">
      <c r="B47" s="273">
        <v>136</v>
      </c>
      <c r="C47" s="274"/>
      <c r="D47" s="275"/>
      <c r="E47" s="274"/>
      <c r="F47" s="275"/>
      <c r="G47" s="274"/>
      <c r="H47" s="275"/>
      <c r="I47" s="274"/>
      <c r="J47" s="275"/>
      <c r="K47" s="273">
        <f t="shared" si="0"/>
        <v>136</v>
      </c>
      <c r="M47" s="96"/>
      <c r="N47" s="96"/>
      <c r="O47" s="96"/>
      <c r="P47" s="96"/>
      <c r="Q47" s="96"/>
      <c r="R47" s="99"/>
      <c r="S47" s="96"/>
      <c r="U47" s="248">
        <f t="shared" si="1"/>
        <v>136</v>
      </c>
      <c r="V47" s="249"/>
      <c r="W47" s="239"/>
      <c r="X47" s="240"/>
      <c r="Y47" s="240"/>
      <c r="Z47" s="240"/>
      <c r="AA47" s="280"/>
    </row>
    <row r="48" spans="2:27" ht="12.75">
      <c r="B48" s="273">
        <v>137</v>
      </c>
      <c r="C48" s="274"/>
      <c r="D48" s="275"/>
      <c r="E48" s="274"/>
      <c r="F48" s="275"/>
      <c r="G48" s="274"/>
      <c r="H48" s="275"/>
      <c r="I48" s="274"/>
      <c r="J48" s="275"/>
      <c r="K48" s="273">
        <f t="shared" si="0"/>
        <v>137</v>
      </c>
      <c r="M48" s="96"/>
      <c r="N48" s="96"/>
      <c r="O48" s="96"/>
      <c r="P48" s="96"/>
      <c r="Q48" s="96"/>
      <c r="R48" s="99"/>
      <c r="S48" s="96"/>
      <c r="U48" s="248">
        <f t="shared" si="1"/>
        <v>137</v>
      </c>
      <c r="V48" s="249"/>
      <c r="W48" s="239"/>
      <c r="X48" s="240"/>
      <c r="Y48" s="240"/>
      <c r="Z48" s="240"/>
      <c r="AA48" s="280"/>
    </row>
    <row r="49" spans="2:27" ht="12.75">
      <c r="B49" s="273">
        <v>138</v>
      </c>
      <c r="C49" s="274"/>
      <c r="D49" s="275"/>
      <c r="E49" s="274"/>
      <c r="F49" s="275"/>
      <c r="G49" s="274"/>
      <c r="H49" s="275"/>
      <c r="I49" s="274"/>
      <c r="J49" s="275"/>
      <c r="K49" s="273">
        <f t="shared" si="0"/>
        <v>138</v>
      </c>
      <c r="M49" s="96"/>
      <c r="N49" s="96"/>
      <c r="O49" s="96"/>
      <c r="P49" s="96"/>
      <c r="Q49" s="96"/>
      <c r="R49" s="99"/>
      <c r="S49" s="96"/>
      <c r="U49" s="248">
        <f t="shared" si="1"/>
        <v>138</v>
      </c>
      <c r="V49" s="249"/>
      <c r="W49" s="239"/>
      <c r="X49" s="240"/>
      <c r="Y49" s="240"/>
      <c r="Z49" s="240"/>
      <c r="AA49" s="280"/>
    </row>
    <row r="50" spans="2:27" ht="12.75">
      <c r="B50" s="273">
        <v>139</v>
      </c>
      <c r="C50" s="274"/>
      <c r="D50" s="275"/>
      <c r="E50" s="274"/>
      <c r="F50" s="275"/>
      <c r="G50" s="274"/>
      <c r="H50" s="275"/>
      <c r="I50" s="274"/>
      <c r="J50" s="275"/>
      <c r="K50" s="273">
        <f t="shared" si="0"/>
        <v>139</v>
      </c>
      <c r="M50" s="96"/>
      <c r="N50" s="96"/>
      <c r="O50" s="96"/>
      <c r="P50" s="96"/>
      <c r="Q50" s="96"/>
      <c r="R50" s="99"/>
      <c r="S50" s="96"/>
      <c r="U50" s="248">
        <f t="shared" si="1"/>
        <v>139</v>
      </c>
      <c r="V50" s="249"/>
      <c r="W50" s="239"/>
      <c r="X50" s="240"/>
      <c r="Y50" s="240"/>
      <c r="Z50" s="240"/>
      <c r="AA50" s="280"/>
    </row>
    <row r="51" spans="2:27" ht="12.75">
      <c r="B51" s="273">
        <v>140</v>
      </c>
      <c r="C51" s="274"/>
      <c r="D51" s="275"/>
      <c r="E51" s="274"/>
      <c r="F51" s="275"/>
      <c r="G51" s="274"/>
      <c r="H51" s="275"/>
      <c r="I51" s="274"/>
      <c r="J51" s="275"/>
      <c r="K51" s="273">
        <f t="shared" si="0"/>
        <v>140</v>
      </c>
      <c r="M51" s="96"/>
      <c r="N51" s="96"/>
      <c r="O51" s="96"/>
      <c r="P51" s="96"/>
      <c r="Q51" s="96"/>
      <c r="R51" s="99"/>
      <c r="S51" s="96"/>
      <c r="U51" s="248">
        <f t="shared" si="1"/>
        <v>140</v>
      </c>
      <c r="V51" s="249"/>
      <c r="W51" s="239"/>
      <c r="X51" s="240"/>
      <c r="Y51" s="240"/>
      <c r="Z51" s="240"/>
      <c r="AA51" s="280"/>
    </row>
    <row r="52" spans="2:27" ht="12.75">
      <c r="B52" s="273">
        <v>141</v>
      </c>
      <c r="C52" s="274"/>
      <c r="D52" s="275"/>
      <c r="E52" s="274"/>
      <c r="F52" s="275"/>
      <c r="G52" s="274"/>
      <c r="H52" s="275"/>
      <c r="I52" s="274"/>
      <c r="J52" s="275"/>
      <c r="K52" s="273">
        <f t="shared" si="0"/>
        <v>141</v>
      </c>
      <c r="M52" s="96"/>
      <c r="N52" s="96"/>
      <c r="O52" s="96"/>
      <c r="P52" s="96"/>
      <c r="Q52" s="96"/>
      <c r="R52" s="99"/>
      <c r="S52" s="96"/>
      <c r="U52" s="248">
        <f t="shared" si="1"/>
        <v>141</v>
      </c>
      <c r="V52" s="249"/>
      <c r="W52" s="239"/>
      <c r="X52" s="240"/>
      <c r="Y52" s="240"/>
      <c r="Z52" s="240"/>
      <c r="AA52" s="280"/>
    </row>
    <row r="53" spans="2:27" ht="12.75">
      <c r="B53" s="273">
        <v>142</v>
      </c>
      <c r="C53" s="274"/>
      <c r="D53" s="275"/>
      <c r="E53" s="274"/>
      <c r="F53" s="275"/>
      <c r="G53" s="274"/>
      <c r="H53" s="275"/>
      <c r="I53" s="274"/>
      <c r="J53" s="275"/>
      <c r="K53" s="273">
        <f t="shared" si="0"/>
        <v>142</v>
      </c>
      <c r="M53" s="96"/>
      <c r="N53" s="96"/>
      <c r="O53" s="96"/>
      <c r="P53" s="96"/>
      <c r="Q53" s="96"/>
      <c r="R53" s="99"/>
      <c r="S53" s="96"/>
      <c r="U53" s="248">
        <f t="shared" si="1"/>
        <v>142</v>
      </c>
      <c r="V53" s="249"/>
      <c r="W53" s="239"/>
      <c r="X53" s="240"/>
      <c r="Y53" s="240"/>
      <c r="Z53" s="240"/>
      <c r="AA53" s="280"/>
    </row>
    <row r="54" spans="2:27" ht="12.75">
      <c r="B54" s="273">
        <v>143</v>
      </c>
      <c r="C54" s="274"/>
      <c r="D54" s="275"/>
      <c r="E54" s="274"/>
      <c r="F54" s="275"/>
      <c r="G54" s="274"/>
      <c r="H54" s="275"/>
      <c r="I54" s="274"/>
      <c r="J54" s="275"/>
      <c r="K54" s="273">
        <f t="shared" si="0"/>
        <v>143</v>
      </c>
      <c r="M54" s="96"/>
      <c r="N54" s="96"/>
      <c r="O54" s="96"/>
      <c r="P54" s="96"/>
      <c r="Q54" s="96"/>
      <c r="R54" s="99"/>
      <c r="S54" s="96"/>
      <c r="U54" s="248">
        <f t="shared" si="1"/>
        <v>143</v>
      </c>
      <c r="V54" s="249"/>
      <c r="W54" s="239"/>
      <c r="X54" s="240"/>
      <c r="Y54" s="240"/>
      <c r="Z54" s="240"/>
      <c r="AA54" s="280"/>
    </row>
    <row r="55" spans="2:27" ht="12.75">
      <c r="B55" s="273">
        <v>144</v>
      </c>
      <c r="C55" s="274"/>
      <c r="D55" s="275"/>
      <c r="E55" s="274"/>
      <c r="F55" s="275"/>
      <c r="G55" s="274"/>
      <c r="H55" s="275"/>
      <c r="I55" s="274"/>
      <c r="J55" s="275"/>
      <c r="K55" s="273">
        <f t="shared" si="0"/>
        <v>144</v>
      </c>
      <c r="M55" s="96"/>
      <c r="N55" s="96"/>
      <c r="O55" s="96"/>
      <c r="P55" s="96"/>
      <c r="Q55" s="96"/>
      <c r="R55" s="99"/>
      <c r="S55" s="96"/>
      <c r="U55" s="248">
        <f t="shared" si="1"/>
        <v>144</v>
      </c>
      <c r="V55" s="249"/>
      <c r="W55" s="239"/>
      <c r="X55" s="240"/>
      <c r="Y55" s="240"/>
      <c r="Z55" s="240"/>
      <c r="AA55" s="280"/>
    </row>
    <row r="56" spans="2:27" ht="12.75">
      <c r="B56" s="273">
        <v>145</v>
      </c>
      <c r="C56" s="274"/>
      <c r="D56" s="275"/>
      <c r="E56" s="274"/>
      <c r="F56" s="275"/>
      <c r="G56" s="274"/>
      <c r="H56" s="275"/>
      <c r="I56" s="274"/>
      <c r="J56" s="275"/>
      <c r="K56" s="273">
        <f t="shared" si="0"/>
        <v>145</v>
      </c>
      <c r="M56" s="96"/>
      <c r="N56" s="96"/>
      <c r="O56" s="96"/>
      <c r="P56" s="96"/>
      <c r="Q56" s="96"/>
      <c r="R56" s="99"/>
      <c r="S56" s="96"/>
      <c r="U56" s="248">
        <f t="shared" si="1"/>
        <v>145</v>
      </c>
      <c r="V56" s="249"/>
      <c r="W56" s="239"/>
      <c r="X56" s="240"/>
      <c r="Y56" s="240"/>
      <c r="Z56" s="240"/>
      <c r="AA56" s="280"/>
    </row>
    <row r="57" spans="2:27" ht="12.75">
      <c r="B57" s="273">
        <v>146</v>
      </c>
      <c r="C57" s="274"/>
      <c r="D57" s="275"/>
      <c r="E57" s="274"/>
      <c r="F57" s="275"/>
      <c r="G57" s="274"/>
      <c r="H57" s="275"/>
      <c r="I57" s="274"/>
      <c r="J57" s="275"/>
      <c r="K57" s="273">
        <f t="shared" si="0"/>
        <v>146</v>
      </c>
      <c r="M57" s="96"/>
      <c r="N57" s="96"/>
      <c r="O57" s="96"/>
      <c r="P57" s="96"/>
      <c r="Q57" s="96"/>
      <c r="R57" s="99"/>
      <c r="S57" s="96"/>
      <c r="U57" s="248">
        <f t="shared" si="1"/>
        <v>146</v>
      </c>
      <c r="V57" s="249"/>
      <c r="W57" s="239"/>
      <c r="X57" s="240"/>
      <c r="Y57" s="240"/>
      <c r="Z57" s="240"/>
      <c r="AA57" s="280"/>
    </row>
    <row r="58" spans="2:27" ht="12.75">
      <c r="B58" s="273">
        <v>147</v>
      </c>
      <c r="C58" s="274"/>
      <c r="D58" s="275"/>
      <c r="E58" s="274"/>
      <c r="F58" s="275"/>
      <c r="G58" s="274"/>
      <c r="H58" s="275"/>
      <c r="I58" s="274"/>
      <c r="J58" s="275"/>
      <c r="K58" s="273">
        <f t="shared" si="0"/>
        <v>147</v>
      </c>
      <c r="M58" s="96"/>
      <c r="N58" s="96"/>
      <c r="O58" s="96"/>
      <c r="P58" s="96"/>
      <c r="Q58" s="96"/>
      <c r="R58" s="99"/>
      <c r="S58" s="96"/>
      <c r="U58" s="248">
        <f t="shared" si="1"/>
        <v>147</v>
      </c>
      <c r="V58" s="249"/>
      <c r="W58" s="239"/>
      <c r="X58" s="240"/>
      <c r="Y58" s="240"/>
      <c r="Z58" s="240"/>
      <c r="AA58" s="280"/>
    </row>
    <row r="59" spans="2:27" ht="12.75">
      <c r="B59" s="273">
        <v>148</v>
      </c>
      <c r="C59" s="274"/>
      <c r="D59" s="275"/>
      <c r="E59" s="274"/>
      <c r="F59" s="275"/>
      <c r="G59" s="274"/>
      <c r="H59" s="275"/>
      <c r="I59" s="274"/>
      <c r="J59" s="275"/>
      <c r="K59" s="273">
        <f t="shared" si="0"/>
        <v>148</v>
      </c>
      <c r="M59" s="96"/>
      <c r="N59" s="96"/>
      <c r="O59" s="96"/>
      <c r="P59" s="96"/>
      <c r="Q59" s="96"/>
      <c r="R59" s="99"/>
      <c r="S59" s="96"/>
      <c r="U59" s="248">
        <f t="shared" si="1"/>
        <v>148</v>
      </c>
      <c r="V59" s="249"/>
      <c r="W59" s="239"/>
      <c r="X59" s="240"/>
      <c r="Y59" s="240"/>
      <c r="Z59" s="240"/>
      <c r="AA59" s="280"/>
    </row>
    <row r="60" spans="2:27" ht="12.75">
      <c r="B60" s="273">
        <v>149</v>
      </c>
      <c r="C60" s="274"/>
      <c r="D60" s="275"/>
      <c r="E60" s="274"/>
      <c r="F60" s="275"/>
      <c r="G60" s="274"/>
      <c r="H60" s="275"/>
      <c r="I60" s="274"/>
      <c r="J60" s="275"/>
      <c r="K60" s="273">
        <f t="shared" si="0"/>
        <v>149</v>
      </c>
      <c r="M60" s="96"/>
      <c r="N60" s="96"/>
      <c r="O60" s="96"/>
      <c r="P60" s="96"/>
      <c r="Q60" s="96"/>
      <c r="R60" s="99"/>
      <c r="S60" s="96"/>
      <c r="U60" s="248">
        <f t="shared" si="1"/>
        <v>149</v>
      </c>
      <c r="V60" s="249"/>
      <c r="W60" s="239"/>
      <c r="X60" s="240"/>
      <c r="Y60" s="240"/>
      <c r="Z60" s="240"/>
      <c r="AA60" s="280"/>
    </row>
    <row r="61" spans="2:27" ht="12.75">
      <c r="B61" s="273">
        <v>150</v>
      </c>
      <c r="C61" s="274"/>
      <c r="D61" s="275"/>
      <c r="E61" s="274"/>
      <c r="F61" s="275"/>
      <c r="G61" s="274"/>
      <c r="H61" s="275"/>
      <c r="I61" s="274"/>
      <c r="J61" s="275"/>
      <c r="K61" s="273">
        <f t="shared" si="0"/>
        <v>150</v>
      </c>
      <c r="M61" s="96"/>
      <c r="N61" s="96"/>
      <c r="O61" s="96"/>
      <c r="P61" s="96"/>
      <c r="Q61" s="96"/>
      <c r="R61" s="99"/>
      <c r="S61" s="96"/>
      <c r="U61" s="248">
        <f t="shared" si="1"/>
        <v>150</v>
      </c>
      <c r="V61" s="249"/>
      <c r="W61" s="239"/>
      <c r="X61" s="240"/>
      <c r="Y61" s="240"/>
      <c r="Z61" s="240"/>
      <c r="AA61" s="280"/>
    </row>
    <row r="62" spans="2:27" ht="12.75">
      <c r="B62" s="273">
        <v>151</v>
      </c>
      <c r="C62" s="274"/>
      <c r="D62" s="275"/>
      <c r="E62" s="274"/>
      <c r="F62" s="275"/>
      <c r="G62" s="274"/>
      <c r="H62" s="275"/>
      <c r="I62" s="274"/>
      <c r="J62" s="275"/>
      <c r="K62" s="273">
        <f t="shared" si="0"/>
        <v>151</v>
      </c>
      <c r="M62" s="96"/>
      <c r="N62" s="96"/>
      <c r="O62" s="96"/>
      <c r="P62" s="96"/>
      <c r="Q62" s="96"/>
      <c r="R62" s="99"/>
      <c r="S62" s="96"/>
      <c r="U62" s="248">
        <f t="shared" si="1"/>
        <v>151</v>
      </c>
      <c r="V62" s="249"/>
      <c r="W62" s="239"/>
      <c r="X62" s="240"/>
      <c r="Y62" s="240"/>
      <c r="Z62" s="240"/>
      <c r="AA62" s="280"/>
    </row>
    <row r="63" spans="2:27" ht="12.75">
      <c r="B63" s="273">
        <v>152</v>
      </c>
      <c r="C63" s="274"/>
      <c r="D63" s="275"/>
      <c r="E63" s="274"/>
      <c r="F63" s="275"/>
      <c r="G63" s="274"/>
      <c r="H63" s="275"/>
      <c r="I63" s="274"/>
      <c r="J63" s="275"/>
      <c r="K63" s="273">
        <f t="shared" si="0"/>
        <v>152</v>
      </c>
      <c r="M63" s="96"/>
      <c r="N63" s="96"/>
      <c r="O63" s="96"/>
      <c r="P63" s="96"/>
      <c r="Q63" s="96"/>
      <c r="R63" s="99"/>
      <c r="S63" s="96"/>
      <c r="U63" s="248">
        <f t="shared" si="1"/>
        <v>152</v>
      </c>
      <c r="V63" s="249"/>
      <c r="W63" s="239"/>
      <c r="X63" s="240"/>
      <c r="Y63" s="240"/>
      <c r="Z63" s="240"/>
      <c r="AA63" s="280"/>
    </row>
    <row r="64" spans="2:27" ht="12.75">
      <c r="B64" s="273">
        <v>153</v>
      </c>
      <c r="C64" s="274"/>
      <c r="D64" s="275"/>
      <c r="E64" s="274"/>
      <c r="F64" s="275"/>
      <c r="G64" s="274"/>
      <c r="H64" s="275"/>
      <c r="I64" s="274"/>
      <c r="J64" s="275"/>
      <c r="K64" s="273">
        <f t="shared" si="0"/>
        <v>153</v>
      </c>
      <c r="M64" s="96"/>
      <c r="N64" s="96"/>
      <c r="O64" s="96"/>
      <c r="P64" s="96"/>
      <c r="Q64" s="96"/>
      <c r="R64" s="99"/>
      <c r="S64" s="96"/>
      <c r="U64" s="248">
        <f t="shared" si="1"/>
        <v>153</v>
      </c>
      <c r="V64" s="249"/>
      <c r="W64" s="239"/>
      <c r="X64" s="240"/>
      <c r="Y64" s="240"/>
      <c r="Z64" s="240"/>
      <c r="AA64" s="280"/>
    </row>
    <row r="65" spans="2:27" ht="12.75">
      <c r="B65" s="273">
        <v>154</v>
      </c>
      <c r="C65" s="274"/>
      <c r="D65" s="275"/>
      <c r="E65" s="274"/>
      <c r="F65" s="275"/>
      <c r="G65" s="274"/>
      <c r="H65" s="275"/>
      <c r="I65" s="274"/>
      <c r="J65" s="275"/>
      <c r="K65" s="273">
        <f t="shared" si="0"/>
        <v>154</v>
      </c>
      <c r="M65" s="96"/>
      <c r="N65" s="96"/>
      <c r="O65" s="96"/>
      <c r="P65" s="96"/>
      <c r="Q65" s="96"/>
      <c r="R65" s="99"/>
      <c r="S65" s="96"/>
      <c r="U65" s="248">
        <f t="shared" si="1"/>
        <v>154</v>
      </c>
      <c r="V65" s="249"/>
      <c r="W65" s="239"/>
      <c r="X65" s="240"/>
      <c r="Y65" s="240"/>
      <c r="Z65" s="240"/>
      <c r="AA65" s="280"/>
    </row>
    <row r="66" spans="2:27" ht="12.75">
      <c r="B66" s="273">
        <v>155</v>
      </c>
      <c r="C66" s="274"/>
      <c r="D66" s="275"/>
      <c r="E66" s="274"/>
      <c r="F66" s="275"/>
      <c r="G66" s="274"/>
      <c r="H66" s="275"/>
      <c r="I66" s="274"/>
      <c r="J66" s="275"/>
      <c r="K66" s="273">
        <f t="shared" si="0"/>
        <v>155</v>
      </c>
      <c r="M66" s="96"/>
      <c r="N66" s="96"/>
      <c r="O66" s="96"/>
      <c r="P66" s="96"/>
      <c r="Q66" s="96"/>
      <c r="R66" s="99"/>
      <c r="S66" s="96"/>
      <c r="U66" s="248">
        <f t="shared" si="1"/>
        <v>155</v>
      </c>
      <c r="V66" s="249"/>
      <c r="W66" s="239"/>
      <c r="X66" s="240"/>
      <c r="Y66" s="240"/>
      <c r="Z66" s="240"/>
      <c r="AA66" s="280"/>
    </row>
    <row r="67" spans="2:27" ht="12.75">
      <c r="B67" s="273">
        <v>156</v>
      </c>
      <c r="C67" s="274"/>
      <c r="D67" s="275"/>
      <c r="E67" s="274"/>
      <c r="F67" s="275"/>
      <c r="G67" s="274"/>
      <c r="H67" s="275"/>
      <c r="I67" s="274"/>
      <c r="J67" s="275"/>
      <c r="K67" s="273">
        <f t="shared" si="0"/>
        <v>156</v>
      </c>
      <c r="M67" s="96"/>
      <c r="N67" s="96"/>
      <c r="O67" s="96"/>
      <c r="P67" s="96"/>
      <c r="Q67" s="96"/>
      <c r="R67" s="99"/>
      <c r="S67" s="96"/>
      <c r="U67" s="248">
        <f t="shared" si="1"/>
        <v>156</v>
      </c>
      <c r="V67" s="249"/>
      <c r="W67" s="239"/>
      <c r="X67" s="240"/>
      <c r="Y67" s="240"/>
      <c r="Z67" s="240"/>
      <c r="AA67" s="280"/>
    </row>
    <row r="68" spans="2:27" ht="12.75">
      <c r="B68" s="273">
        <v>157</v>
      </c>
      <c r="C68" s="274"/>
      <c r="D68" s="275"/>
      <c r="E68" s="274"/>
      <c r="F68" s="275"/>
      <c r="G68" s="274"/>
      <c r="H68" s="275"/>
      <c r="I68" s="274"/>
      <c r="J68" s="275"/>
      <c r="K68" s="273">
        <f t="shared" si="0"/>
        <v>157</v>
      </c>
      <c r="M68" s="96"/>
      <c r="N68" s="96"/>
      <c r="O68" s="96"/>
      <c r="P68" s="96"/>
      <c r="Q68" s="96"/>
      <c r="R68" s="99"/>
      <c r="S68" s="96"/>
      <c r="U68" s="248">
        <f t="shared" si="1"/>
        <v>157</v>
      </c>
      <c r="V68" s="249"/>
      <c r="W68" s="239"/>
      <c r="X68" s="240"/>
      <c r="Y68" s="240"/>
      <c r="Z68" s="240"/>
      <c r="AA68" s="280"/>
    </row>
    <row r="69" spans="2:27" ht="12.75">
      <c r="B69" s="273">
        <v>158</v>
      </c>
      <c r="C69" s="274"/>
      <c r="D69" s="275"/>
      <c r="E69" s="274"/>
      <c r="F69" s="275"/>
      <c r="G69" s="274"/>
      <c r="H69" s="275"/>
      <c r="I69" s="274"/>
      <c r="J69" s="275"/>
      <c r="K69" s="273">
        <f t="shared" si="0"/>
        <v>158</v>
      </c>
      <c r="M69" s="96"/>
      <c r="N69" s="96"/>
      <c r="O69" s="96"/>
      <c r="P69" s="96"/>
      <c r="Q69" s="96"/>
      <c r="R69" s="99"/>
      <c r="S69" s="96"/>
      <c r="U69" s="248">
        <f t="shared" si="1"/>
        <v>158</v>
      </c>
      <c r="V69" s="249"/>
      <c r="W69" s="239"/>
      <c r="X69" s="240"/>
      <c r="Y69" s="240"/>
      <c r="Z69" s="240"/>
      <c r="AA69" s="280"/>
    </row>
    <row r="70" spans="2:27" ht="12.75">
      <c r="B70" s="273">
        <v>159</v>
      </c>
      <c r="C70" s="274"/>
      <c r="D70" s="275"/>
      <c r="E70" s="274"/>
      <c r="F70" s="275"/>
      <c r="G70" s="274"/>
      <c r="H70" s="275"/>
      <c r="I70" s="274"/>
      <c r="J70" s="275"/>
      <c r="K70" s="273">
        <f t="shared" si="0"/>
        <v>159</v>
      </c>
      <c r="M70" s="96"/>
      <c r="N70" s="96"/>
      <c r="O70" s="96"/>
      <c r="P70" s="96"/>
      <c r="Q70" s="96"/>
      <c r="R70" s="99"/>
      <c r="S70" s="96"/>
      <c r="U70" s="248">
        <f t="shared" si="1"/>
        <v>159</v>
      </c>
      <c r="V70" s="249"/>
      <c r="W70" s="239"/>
      <c r="X70" s="240"/>
      <c r="Y70" s="240"/>
      <c r="Z70" s="240"/>
      <c r="AA70" s="280"/>
    </row>
    <row r="71" spans="2:27" ht="12.75">
      <c r="B71" s="273">
        <v>160</v>
      </c>
      <c r="C71" s="274"/>
      <c r="D71" s="275"/>
      <c r="E71" s="274"/>
      <c r="F71" s="275"/>
      <c r="G71" s="274"/>
      <c r="H71" s="275"/>
      <c r="I71" s="274"/>
      <c r="J71" s="275"/>
      <c r="K71" s="273">
        <f t="shared" si="0"/>
        <v>160</v>
      </c>
      <c r="M71" s="96"/>
      <c r="N71" s="96"/>
      <c r="O71" s="96"/>
      <c r="P71" s="96"/>
      <c r="Q71" s="96"/>
      <c r="R71" s="99"/>
      <c r="S71" s="96"/>
      <c r="U71" s="248">
        <f t="shared" si="1"/>
        <v>160</v>
      </c>
      <c r="V71" s="249"/>
      <c r="W71" s="239"/>
      <c r="X71" s="240"/>
      <c r="Y71" s="240"/>
      <c r="Z71" s="240"/>
      <c r="AA71" s="280"/>
    </row>
    <row r="72" spans="2:27" ht="12.75">
      <c r="B72" s="273">
        <v>161</v>
      </c>
      <c r="C72" s="274"/>
      <c r="D72" s="275"/>
      <c r="E72" s="274"/>
      <c r="F72" s="275"/>
      <c r="G72" s="274"/>
      <c r="H72" s="275"/>
      <c r="I72" s="274"/>
      <c r="J72" s="275"/>
      <c r="K72" s="273">
        <f t="shared" si="0"/>
        <v>161</v>
      </c>
      <c r="M72" s="96"/>
      <c r="N72" s="96"/>
      <c r="O72" s="96"/>
      <c r="P72" s="96"/>
      <c r="Q72" s="96"/>
      <c r="R72" s="99"/>
      <c r="S72" s="96"/>
      <c r="U72" s="248">
        <f t="shared" si="1"/>
        <v>161</v>
      </c>
      <c r="V72" s="249"/>
      <c r="W72" s="239"/>
      <c r="X72" s="240"/>
      <c r="Y72" s="240"/>
      <c r="Z72" s="240"/>
      <c r="AA72" s="280"/>
    </row>
    <row r="73" spans="2:27" ht="12.75">
      <c r="B73" s="273">
        <v>162</v>
      </c>
      <c r="C73" s="274"/>
      <c r="D73" s="275"/>
      <c r="E73" s="274"/>
      <c r="F73" s="275"/>
      <c r="G73" s="274"/>
      <c r="H73" s="275"/>
      <c r="I73" s="274"/>
      <c r="J73" s="275"/>
      <c r="K73" s="273">
        <f t="shared" si="0"/>
        <v>162</v>
      </c>
      <c r="M73" s="96"/>
      <c r="N73" s="96"/>
      <c r="O73" s="96"/>
      <c r="P73" s="96"/>
      <c r="Q73" s="96"/>
      <c r="R73" s="99"/>
      <c r="S73" s="96"/>
      <c r="U73" s="248">
        <f t="shared" si="1"/>
        <v>162</v>
      </c>
      <c r="V73" s="249"/>
      <c r="W73" s="239"/>
      <c r="X73" s="240"/>
      <c r="Y73" s="240"/>
      <c r="Z73" s="240"/>
      <c r="AA73" s="280"/>
    </row>
    <row r="74" spans="2:27" ht="12.75">
      <c r="B74" s="273">
        <v>163</v>
      </c>
      <c r="C74" s="274"/>
      <c r="D74" s="275"/>
      <c r="E74" s="274"/>
      <c r="F74" s="275"/>
      <c r="G74" s="274"/>
      <c r="H74" s="275"/>
      <c r="I74" s="274"/>
      <c r="J74" s="275"/>
      <c r="K74" s="273">
        <f t="shared" si="0"/>
        <v>163</v>
      </c>
      <c r="M74" s="96"/>
      <c r="N74" s="96"/>
      <c r="O74" s="96"/>
      <c r="P74" s="96"/>
      <c r="Q74" s="96"/>
      <c r="R74" s="99"/>
      <c r="S74" s="96"/>
      <c r="U74" s="248">
        <f t="shared" si="1"/>
        <v>163</v>
      </c>
      <c r="V74" s="249"/>
      <c r="W74" s="239"/>
      <c r="X74" s="240"/>
      <c r="Y74" s="240"/>
      <c r="Z74" s="240"/>
      <c r="AA74" s="280"/>
    </row>
    <row r="75" spans="2:27" ht="12.75">
      <c r="B75" s="273">
        <v>164</v>
      </c>
      <c r="C75" s="274"/>
      <c r="D75" s="275"/>
      <c r="E75" s="274"/>
      <c r="F75" s="275"/>
      <c r="G75" s="274"/>
      <c r="H75" s="275"/>
      <c r="I75" s="274"/>
      <c r="J75" s="275"/>
      <c r="K75" s="273">
        <f t="shared" si="0"/>
        <v>164</v>
      </c>
      <c r="M75" s="96"/>
      <c r="N75" s="96"/>
      <c r="O75" s="96"/>
      <c r="P75" s="96"/>
      <c r="Q75" s="96"/>
      <c r="R75" s="99"/>
      <c r="S75" s="96"/>
      <c r="U75" s="248">
        <f t="shared" si="1"/>
        <v>164</v>
      </c>
      <c r="V75" s="249"/>
      <c r="W75" s="239"/>
      <c r="X75" s="240"/>
      <c r="Y75" s="240"/>
      <c r="Z75" s="240"/>
      <c r="AA75" s="280"/>
    </row>
    <row r="76" spans="2:27" ht="12.75">
      <c r="B76" s="273">
        <v>165</v>
      </c>
      <c r="C76" s="274"/>
      <c r="D76" s="275"/>
      <c r="E76" s="274"/>
      <c r="F76" s="275"/>
      <c r="G76" s="274"/>
      <c r="H76" s="275"/>
      <c r="I76" s="274"/>
      <c r="J76" s="275"/>
      <c r="K76" s="273">
        <f aca="true" t="shared" si="2" ref="K76:K139">B76</f>
        <v>165</v>
      </c>
      <c r="M76" s="96"/>
      <c r="N76" s="96"/>
      <c r="O76" s="96"/>
      <c r="P76" s="96"/>
      <c r="Q76" s="96"/>
      <c r="R76" s="99"/>
      <c r="S76" s="96"/>
      <c r="U76" s="248">
        <f aca="true" t="shared" si="3" ref="U76:U139">K76</f>
        <v>165</v>
      </c>
      <c r="V76" s="249"/>
      <c r="W76" s="239"/>
      <c r="X76" s="240"/>
      <c r="Y76" s="240"/>
      <c r="Z76" s="240"/>
      <c r="AA76" s="280"/>
    </row>
    <row r="77" spans="2:27" ht="12.75">
      <c r="B77" s="273">
        <v>166</v>
      </c>
      <c r="C77" s="274"/>
      <c r="D77" s="275"/>
      <c r="E77" s="274"/>
      <c r="F77" s="275"/>
      <c r="G77" s="274"/>
      <c r="H77" s="275"/>
      <c r="I77" s="274"/>
      <c r="J77" s="275"/>
      <c r="K77" s="273">
        <f t="shared" si="2"/>
        <v>166</v>
      </c>
      <c r="M77" s="96"/>
      <c r="N77" s="96"/>
      <c r="O77" s="96"/>
      <c r="P77" s="96"/>
      <c r="Q77" s="96"/>
      <c r="R77" s="99"/>
      <c r="S77" s="96"/>
      <c r="U77" s="248">
        <f t="shared" si="3"/>
        <v>166</v>
      </c>
      <c r="V77" s="249"/>
      <c r="W77" s="239"/>
      <c r="X77" s="240"/>
      <c r="Y77" s="240"/>
      <c r="Z77" s="240"/>
      <c r="AA77" s="280"/>
    </row>
    <row r="78" spans="2:27" ht="12.75">
      <c r="B78" s="273">
        <v>167</v>
      </c>
      <c r="C78" s="274"/>
      <c r="D78" s="275"/>
      <c r="E78" s="274"/>
      <c r="F78" s="275"/>
      <c r="G78" s="274"/>
      <c r="H78" s="275"/>
      <c r="I78" s="274"/>
      <c r="J78" s="275"/>
      <c r="K78" s="273">
        <f t="shared" si="2"/>
        <v>167</v>
      </c>
      <c r="M78" s="96"/>
      <c r="N78" s="96"/>
      <c r="O78" s="96"/>
      <c r="P78" s="96"/>
      <c r="Q78" s="96"/>
      <c r="R78" s="99"/>
      <c r="S78" s="96"/>
      <c r="U78" s="248">
        <f t="shared" si="3"/>
        <v>167</v>
      </c>
      <c r="V78" s="249"/>
      <c r="W78" s="239"/>
      <c r="X78" s="240"/>
      <c r="Y78" s="240"/>
      <c r="Z78" s="240"/>
      <c r="AA78" s="280"/>
    </row>
    <row r="79" spans="2:27" ht="12.75">
      <c r="B79" s="273">
        <v>168</v>
      </c>
      <c r="C79" s="274"/>
      <c r="D79" s="275"/>
      <c r="E79" s="274"/>
      <c r="F79" s="275"/>
      <c r="G79" s="274"/>
      <c r="H79" s="275"/>
      <c r="I79" s="274"/>
      <c r="J79" s="275"/>
      <c r="K79" s="273">
        <f t="shared" si="2"/>
        <v>168</v>
      </c>
      <c r="M79" s="96"/>
      <c r="N79" s="96"/>
      <c r="O79" s="96"/>
      <c r="P79" s="96"/>
      <c r="Q79" s="96"/>
      <c r="R79" s="99"/>
      <c r="S79" s="96"/>
      <c r="U79" s="248">
        <f t="shared" si="3"/>
        <v>168</v>
      </c>
      <c r="V79" s="249"/>
      <c r="W79" s="239"/>
      <c r="X79" s="240"/>
      <c r="Y79" s="240"/>
      <c r="Z79" s="240"/>
      <c r="AA79" s="280"/>
    </row>
    <row r="80" spans="2:27" ht="12.75">
      <c r="B80" s="273">
        <v>169</v>
      </c>
      <c r="C80" s="274"/>
      <c r="D80" s="275"/>
      <c r="E80" s="274"/>
      <c r="F80" s="275"/>
      <c r="G80" s="274"/>
      <c r="H80" s="275"/>
      <c r="I80" s="274"/>
      <c r="J80" s="275"/>
      <c r="K80" s="273">
        <f t="shared" si="2"/>
        <v>169</v>
      </c>
      <c r="M80" s="96"/>
      <c r="N80" s="96"/>
      <c r="O80" s="96"/>
      <c r="P80" s="96"/>
      <c r="Q80" s="96"/>
      <c r="R80" s="99"/>
      <c r="S80" s="96"/>
      <c r="U80" s="248">
        <f t="shared" si="3"/>
        <v>169</v>
      </c>
      <c r="V80" s="249"/>
      <c r="W80" s="239"/>
      <c r="X80" s="240"/>
      <c r="Y80" s="240"/>
      <c r="Z80" s="240"/>
      <c r="AA80" s="280"/>
    </row>
    <row r="81" spans="2:27" ht="12.75">
      <c r="B81" s="273">
        <v>170</v>
      </c>
      <c r="C81" s="274"/>
      <c r="D81" s="275"/>
      <c r="E81" s="274"/>
      <c r="F81" s="275"/>
      <c r="G81" s="274"/>
      <c r="H81" s="275"/>
      <c r="I81" s="274"/>
      <c r="J81" s="275"/>
      <c r="K81" s="273">
        <f t="shared" si="2"/>
        <v>170</v>
      </c>
      <c r="M81" s="96"/>
      <c r="N81" s="96"/>
      <c r="O81" s="96"/>
      <c r="P81" s="96"/>
      <c r="Q81" s="96"/>
      <c r="R81" s="99"/>
      <c r="S81" s="96"/>
      <c r="U81" s="248">
        <f t="shared" si="3"/>
        <v>170</v>
      </c>
      <c r="V81" s="249"/>
      <c r="W81" s="239"/>
      <c r="X81" s="240"/>
      <c r="Y81" s="240"/>
      <c r="Z81" s="240"/>
      <c r="AA81" s="280"/>
    </row>
    <row r="82" spans="2:27" ht="12.75">
      <c r="B82" s="273">
        <v>171</v>
      </c>
      <c r="C82" s="274"/>
      <c r="D82" s="275"/>
      <c r="E82" s="274"/>
      <c r="F82" s="275"/>
      <c r="G82" s="274"/>
      <c r="H82" s="275"/>
      <c r="I82" s="274"/>
      <c r="J82" s="275"/>
      <c r="K82" s="273">
        <f t="shared" si="2"/>
        <v>171</v>
      </c>
      <c r="M82" s="96"/>
      <c r="N82" s="96"/>
      <c r="O82" s="96"/>
      <c r="P82" s="96"/>
      <c r="Q82" s="96"/>
      <c r="R82" s="99"/>
      <c r="S82" s="96"/>
      <c r="U82" s="248">
        <f t="shared" si="3"/>
        <v>171</v>
      </c>
      <c r="V82" s="249"/>
      <c r="W82" s="239"/>
      <c r="X82" s="240"/>
      <c r="Y82" s="240"/>
      <c r="Z82" s="240"/>
      <c r="AA82" s="280"/>
    </row>
    <row r="83" spans="2:27" ht="12.75">
      <c r="B83" s="273">
        <v>172</v>
      </c>
      <c r="C83" s="274"/>
      <c r="D83" s="275"/>
      <c r="E83" s="274"/>
      <c r="F83" s="275"/>
      <c r="G83" s="274"/>
      <c r="H83" s="275"/>
      <c r="I83" s="274"/>
      <c r="J83" s="275"/>
      <c r="K83" s="273">
        <f t="shared" si="2"/>
        <v>172</v>
      </c>
      <c r="M83" s="96"/>
      <c r="N83" s="96"/>
      <c r="O83" s="96"/>
      <c r="P83" s="96"/>
      <c r="Q83" s="96"/>
      <c r="R83" s="99"/>
      <c r="S83" s="96"/>
      <c r="U83" s="248">
        <f t="shared" si="3"/>
        <v>172</v>
      </c>
      <c r="V83" s="249"/>
      <c r="W83" s="239"/>
      <c r="X83" s="240"/>
      <c r="Y83" s="240"/>
      <c r="Z83" s="240"/>
      <c r="AA83" s="280"/>
    </row>
    <row r="84" spans="2:27" ht="12.75">
      <c r="B84" s="273">
        <v>173</v>
      </c>
      <c r="C84" s="274"/>
      <c r="D84" s="275"/>
      <c r="E84" s="274"/>
      <c r="F84" s="275"/>
      <c r="G84" s="274"/>
      <c r="H84" s="275"/>
      <c r="I84" s="274"/>
      <c r="J84" s="275"/>
      <c r="K84" s="273">
        <f t="shared" si="2"/>
        <v>173</v>
      </c>
      <c r="M84" s="96"/>
      <c r="N84" s="96"/>
      <c r="O84" s="96"/>
      <c r="P84" s="96"/>
      <c r="Q84" s="96"/>
      <c r="R84" s="99"/>
      <c r="S84" s="96"/>
      <c r="U84" s="248">
        <f t="shared" si="3"/>
        <v>173</v>
      </c>
      <c r="V84" s="249"/>
      <c r="W84" s="239"/>
      <c r="X84" s="240"/>
      <c r="Y84" s="240"/>
      <c r="Z84" s="240"/>
      <c r="AA84" s="280"/>
    </row>
    <row r="85" spans="2:27" ht="12.75">
      <c r="B85" s="273">
        <v>174</v>
      </c>
      <c r="C85" s="274"/>
      <c r="D85" s="275"/>
      <c r="E85" s="274"/>
      <c r="F85" s="275"/>
      <c r="G85" s="274"/>
      <c r="H85" s="275"/>
      <c r="I85" s="274"/>
      <c r="J85" s="275"/>
      <c r="K85" s="273">
        <f t="shared" si="2"/>
        <v>174</v>
      </c>
      <c r="M85" s="96"/>
      <c r="N85" s="96"/>
      <c r="O85" s="96"/>
      <c r="P85" s="96"/>
      <c r="Q85" s="96"/>
      <c r="R85" s="99"/>
      <c r="S85" s="96"/>
      <c r="U85" s="248">
        <f t="shared" si="3"/>
        <v>174</v>
      </c>
      <c r="V85" s="249"/>
      <c r="W85" s="239"/>
      <c r="X85" s="240"/>
      <c r="Y85" s="240"/>
      <c r="Z85" s="240"/>
      <c r="AA85" s="280"/>
    </row>
    <row r="86" spans="2:27" ht="12.75">
      <c r="B86" s="273">
        <v>175</v>
      </c>
      <c r="C86" s="274"/>
      <c r="D86" s="275"/>
      <c r="E86" s="274"/>
      <c r="F86" s="275"/>
      <c r="G86" s="274"/>
      <c r="H86" s="275"/>
      <c r="I86" s="274"/>
      <c r="J86" s="275"/>
      <c r="K86" s="273">
        <f t="shared" si="2"/>
        <v>175</v>
      </c>
      <c r="M86" s="96"/>
      <c r="N86" s="96"/>
      <c r="O86" s="96"/>
      <c r="P86" s="96"/>
      <c r="Q86" s="96"/>
      <c r="R86" s="99"/>
      <c r="S86" s="96"/>
      <c r="U86" s="248">
        <f t="shared" si="3"/>
        <v>175</v>
      </c>
      <c r="V86" s="249"/>
      <c r="W86" s="239"/>
      <c r="X86" s="240"/>
      <c r="Y86" s="240"/>
      <c r="Z86" s="240"/>
      <c r="AA86" s="280"/>
    </row>
    <row r="87" spans="2:27" ht="12.75">
      <c r="B87" s="273">
        <v>176</v>
      </c>
      <c r="C87" s="274"/>
      <c r="D87" s="275"/>
      <c r="E87" s="274"/>
      <c r="F87" s="275"/>
      <c r="G87" s="274"/>
      <c r="H87" s="275"/>
      <c r="I87" s="274"/>
      <c r="J87" s="275"/>
      <c r="K87" s="273">
        <f t="shared" si="2"/>
        <v>176</v>
      </c>
      <c r="M87" s="96"/>
      <c r="N87" s="96"/>
      <c r="O87" s="96"/>
      <c r="P87" s="96"/>
      <c r="Q87" s="96"/>
      <c r="R87" s="99"/>
      <c r="S87" s="96"/>
      <c r="U87" s="248">
        <f t="shared" si="3"/>
        <v>176</v>
      </c>
      <c r="V87" s="249"/>
      <c r="W87" s="239"/>
      <c r="X87" s="240"/>
      <c r="Y87" s="240"/>
      <c r="Z87" s="240"/>
      <c r="AA87" s="280"/>
    </row>
    <row r="88" spans="2:27" ht="12.75">
      <c r="B88" s="273">
        <v>177</v>
      </c>
      <c r="C88" s="274"/>
      <c r="D88" s="275"/>
      <c r="E88" s="274"/>
      <c r="F88" s="275"/>
      <c r="G88" s="274"/>
      <c r="H88" s="275"/>
      <c r="I88" s="274"/>
      <c r="J88" s="275"/>
      <c r="K88" s="273">
        <f t="shared" si="2"/>
        <v>177</v>
      </c>
      <c r="M88" s="96"/>
      <c r="N88" s="96"/>
      <c r="O88" s="96"/>
      <c r="P88" s="96"/>
      <c r="Q88" s="96"/>
      <c r="R88" s="99"/>
      <c r="S88" s="96"/>
      <c r="U88" s="248">
        <f t="shared" si="3"/>
        <v>177</v>
      </c>
      <c r="V88" s="249"/>
      <c r="W88" s="239"/>
      <c r="X88" s="240"/>
      <c r="Y88" s="240"/>
      <c r="Z88" s="240"/>
      <c r="AA88" s="280"/>
    </row>
    <row r="89" spans="2:27" ht="12.75">
      <c r="B89" s="273">
        <v>178</v>
      </c>
      <c r="C89" s="274"/>
      <c r="D89" s="275"/>
      <c r="E89" s="274"/>
      <c r="F89" s="275"/>
      <c r="G89" s="274"/>
      <c r="H89" s="275"/>
      <c r="I89" s="274"/>
      <c r="J89" s="275"/>
      <c r="K89" s="273">
        <f t="shared" si="2"/>
        <v>178</v>
      </c>
      <c r="M89" s="96"/>
      <c r="N89" s="96"/>
      <c r="O89" s="96"/>
      <c r="P89" s="96"/>
      <c r="Q89" s="96"/>
      <c r="R89" s="99"/>
      <c r="S89" s="96"/>
      <c r="U89" s="248">
        <f t="shared" si="3"/>
        <v>178</v>
      </c>
      <c r="V89" s="249"/>
      <c r="W89" s="239"/>
      <c r="X89" s="240"/>
      <c r="Y89" s="240"/>
      <c r="Z89" s="240"/>
      <c r="AA89" s="280"/>
    </row>
    <row r="90" spans="2:27" ht="12.75">
      <c r="B90" s="273">
        <v>179</v>
      </c>
      <c r="C90" s="274"/>
      <c r="D90" s="275"/>
      <c r="E90" s="274"/>
      <c r="F90" s="275"/>
      <c r="G90" s="274"/>
      <c r="H90" s="275"/>
      <c r="I90" s="274"/>
      <c r="J90" s="275"/>
      <c r="K90" s="273">
        <f t="shared" si="2"/>
        <v>179</v>
      </c>
      <c r="M90" s="96"/>
      <c r="N90" s="96"/>
      <c r="O90" s="96"/>
      <c r="P90" s="96"/>
      <c r="Q90" s="96"/>
      <c r="R90" s="99"/>
      <c r="S90" s="96"/>
      <c r="U90" s="248">
        <f t="shared" si="3"/>
        <v>179</v>
      </c>
      <c r="V90" s="249"/>
      <c r="W90" s="239"/>
      <c r="X90" s="240"/>
      <c r="Y90" s="240"/>
      <c r="Z90" s="240"/>
      <c r="AA90" s="280"/>
    </row>
    <row r="91" spans="2:27" ht="12.75">
      <c r="B91" s="273">
        <v>180</v>
      </c>
      <c r="C91" s="274"/>
      <c r="D91" s="275"/>
      <c r="E91" s="274"/>
      <c r="F91" s="275"/>
      <c r="G91" s="274"/>
      <c r="H91" s="275"/>
      <c r="I91" s="274"/>
      <c r="J91" s="275"/>
      <c r="K91" s="273">
        <f t="shared" si="2"/>
        <v>180</v>
      </c>
      <c r="M91" s="96"/>
      <c r="N91" s="96"/>
      <c r="O91" s="96"/>
      <c r="P91" s="96"/>
      <c r="Q91" s="96"/>
      <c r="R91" s="99"/>
      <c r="S91" s="96"/>
      <c r="U91" s="248">
        <f t="shared" si="3"/>
        <v>180</v>
      </c>
      <c r="V91" s="249"/>
      <c r="W91" s="239"/>
      <c r="X91" s="240"/>
      <c r="Y91" s="240"/>
      <c r="Z91" s="240"/>
      <c r="AA91" s="280"/>
    </row>
    <row r="92" spans="2:27" ht="12.75">
      <c r="B92" s="273">
        <v>181</v>
      </c>
      <c r="C92" s="274"/>
      <c r="D92" s="275"/>
      <c r="E92" s="274"/>
      <c r="F92" s="275"/>
      <c r="G92" s="274"/>
      <c r="H92" s="275"/>
      <c r="I92" s="274"/>
      <c r="J92" s="275"/>
      <c r="K92" s="273">
        <f t="shared" si="2"/>
        <v>181</v>
      </c>
      <c r="M92" s="96"/>
      <c r="N92" s="96"/>
      <c r="O92" s="96"/>
      <c r="P92" s="96"/>
      <c r="Q92" s="96"/>
      <c r="R92" s="99"/>
      <c r="S92" s="96"/>
      <c r="U92" s="248">
        <f t="shared" si="3"/>
        <v>181</v>
      </c>
      <c r="V92" s="249"/>
      <c r="W92" s="239"/>
      <c r="X92" s="240"/>
      <c r="Y92" s="240"/>
      <c r="Z92" s="240"/>
      <c r="AA92" s="280"/>
    </row>
    <row r="93" spans="2:27" ht="12.75">
      <c r="B93" s="273">
        <v>182</v>
      </c>
      <c r="C93" s="274"/>
      <c r="D93" s="275"/>
      <c r="E93" s="274"/>
      <c r="F93" s="275"/>
      <c r="G93" s="274"/>
      <c r="H93" s="275"/>
      <c r="I93" s="274"/>
      <c r="J93" s="275"/>
      <c r="K93" s="273">
        <f t="shared" si="2"/>
        <v>182</v>
      </c>
      <c r="M93" s="96"/>
      <c r="N93" s="96"/>
      <c r="O93" s="96"/>
      <c r="P93" s="96"/>
      <c r="Q93" s="96"/>
      <c r="R93" s="99"/>
      <c r="S93" s="96"/>
      <c r="U93" s="248">
        <f t="shared" si="3"/>
        <v>182</v>
      </c>
      <c r="V93" s="249"/>
      <c r="W93" s="239"/>
      <c r="X93" s="240"/>
      <c r="Y93" s="240"/>
      <c r="Z93" s="240"/>
      <c r="AA93" s="280"/>
    </row>
    <row r="94" spans="2:27" ht="12.75">
      <c r="B94" s="273">
        <v>183</v>
      </c>
      <c r="C94" s="274"/>
      <c r="D94" s="275"/>
      <c r="E94" s="274"/>
      <c r="F94" s="275"/>
      <c r="G94" s="274"/>
      <c r="H94" s="275"/>
      <c r="I94" s="274"/>
      <c r="J94" s="275"/>
      <c r="K94" s="273">
        <f t="shared" si="2"/>
        <v>183</v>
      </c>
      <c r="M94" s="96"/>
      <c r="N94" s="96"/>
      <c r="O94" s="96"/>
      <c r="P94" s="96"/>
      <c r="Q94" s="96"/>
      <c r="R94" s="99"/>
      <c r="S94" s="96"/>
      <c r="U94" s="248">
        <f t="shared" si="3"/>
        <v>183</v>
      </c>
      <c r="V94" s="249"/>
      <c r="W94" s="239"/>
      <c r="X94" s="240"/>
      <c r="Y94" s="240"/>
      <c r="Z94" s="240"/>
      <c r="AA94" s="280"/>
    </row>
    <row r="95" spans="2:27" ht="12.75">
      <c r="B95" s="273">
        <v>184</v>
      </c>
      <c r="C95" s="274"/>
      <c r="D95" s="275"/>
      <c r="E95" s="274"/>
      <c r="F95" s="275"/>
      <c r="G95" s="274"/>
      <c r="H95" s="275"/>
      <c r="I95" s="274"/>
      <c r="J95" s="275"/>
      <c r="K95" s="273">
        <f t="shared" si="2"/>
        <v>184</v>
      </c>
      <c r="M95" s="96"/>
      <c r="N95" s="96"/>
      <c r="O95" s="96"/>
      <c r="P95" s="96"/>
      <c r="Q95" s="96"/>
      <c r="R95" s="99"/>
      <c r="S95" s="96"/>
      <c r="U95" s="248">
        <f t="shared" si="3"/>
        <v>184</v>
      </c>
      <c r="V95" s="249"/>
      <c r="W95" s="239"/>
      <c r="X95" s="240"/>
      <c r="Y95" s="240"/>
      <c r="Z95" s="240"/>
      <c r="AA95" s="280"/>
    </row>
    <row r="96" spans="2:27" ht="12.75">
      <c r="B96" s="273">
        <v>185</v>
      </c>
      <c r="C96" s="274"/>
      <c r="D96" s="275"/>
      <c r="E96" s="274"/>
      <c r="F96" s="275"/>
      <c r="G96" s="274"/>
      <c r="H96" s="275"/>
      <c r="I96" s="274"/>
      <c r="J96" s="275"/>
      <c r="K96" s="273">
        <f t="shared" si="2"/>
        <v>185</v>
      </c>
      <c r="M96" s="96"/>
      <c r="N96" s="96"/>
      <c r="O96" s="96"/>
      <c r="P96" s="96"/>
      <c r="Q96" s="96"/>
      <c r="R96" s="99"/>
      <c r="S96" s="96"/>
      <c r="U96" s="248">
        <f t="shared" si="3"/>
        <v>185</v>
      </c>
      <c r="V96" s="249"/>
      <c r="W96" s="239"/>
      <c r="X96" s="240"/>
      <c r="Y96" s="240"/>
      <c r="Z96" s="240"/>
      <c r="AA96" s="280"/>
    </row>
    <row r="97" spans="2:27" ht="12.75">
      <c r="B97" s="273">
        <v>186</v>
      </c>
      <c r="C97" s="274"/>
      <c r="D97" s="275"/>
      <c r="E97" s="274"/>
      <c r="F97" s="275"/>
      <c r="G97" s="274"/>
      <c r="H97" s="275"/>
      <c r="I97" s="274"/>
      <c r="J97" s="275"/>
      <c r="K97" s="273">
        <f t="shared" si="2"/>
        <v>186</v>
      </c>
      <c r="M97" s="96"/>
      <c r="N97" s="96"/>
      <c r="O97" s="96"/>
      <c r="P97" s="96"/>
      <c r="Q97" s="96"/>
      <c r="R97" s="99"/>
      <c r="S97" s="96"/>
      <c r="U97" s="248">
        <f t="shared" si="3"/>
        <v>186</v>
      </c>
      <c r="V97" s="249"/>
      <c r="W97" s="239"/>
      <c r="X97" s="240"/>
      <c r="Y97" s="240"/>
      <c r="Z97" s="240"/>
      <c r="AA97" s="280"/>
    </row>
    <row r="98" spans="2:27" ht="12.75">
      <c r="B98" s="273">
        <v>187</v>
      </c>
      <c r="C98" s="274"/>
      <c r="D98" s="275"/>
      <c r="E98" s="274"/>
      <c r="F98" s="275"/>
      <c r="G98" s="274"/>
      <c r="H98" s="275"/>
      <c r="I98" s="274"/>
      <c r="J98" s="275"/>
      <c r="K98" s="273">
        <f t="shared" si="2"/>
        <v>187</v>
      </c>
      <c r="M98" s="96"/>
      <c r="N98" s="96"/>
      <c r="O98" s="96"/>
      <c r="P98" s="96"/>
      <c r="Q98" s="96"/>
      <c r="R98" s="99"/>
      <c r="S98" s="96"/>
      <c r="U98" s="248">
        <f t="shared" si="3"/>
        <v>187</v>
      </c>
      <c r="V98" s="249"/>
      <c r="W98" s="239"/>
      <c r="X98" s="240"/>
      <c r="Y98" s="240"/>
      <c r="Z98" s="240"/>
      <c r="AA98" s="280"/>
    </row>
    <row r="99" spans="2:27" ht="12.75">
      <c r="B99" s="273">
        <v>188</v>
      </c>
      <c r="C99" s="274"/>
      <c r="D99" s="275"/>
      <c r="E99" s="274"/>
      <c r="F99" s="275"/>
      <c r="G99" s="274"/>
      <c r="H99" s="275"/>
      <c r="I99" s="274"/>
      <c r="J99" s="275"/>
      <c r="K99" s="273">
        <f t="shared" si="2"/>
        <v>188</v>
      </c>
      <c r="M99" s="96"/>
      <c r="N99" s="96"/>
      <c r="O99" s="96"/>
      <c r="P99" s="96"/>
      <c r="Q99" s="96"/>
      <c r="R99" s="99"/>
      <c r="S99" s="96"/>
      <c r="U99" s="248">
        <f t="shared" si="3"/>
        <v>188</v>
      </c>
      <c r="V99" s="249"/>
      <c r="W99" s="239"/>
      <c r="X99" s="240"/>
      <c r="Y99" s="240"/>
      <c r="Z99" s="240"/>
      <c r="AA99" s="280"/>
    </row>
    <row r="100" spans="2:27" ht="12.75">
      <c r="B100" s="273">
        <v>189</v>
      </c>
      <c r="C100" s="274"/>
      <c r="D100" s="275"/>
      <c r="E100" s="274"/>
      <c r="F100" s="275"/>
      <c r="G100" s="274"/>
      <c r="H100" s="275"/>
      <c r="I100" s="274"/>
      <c r="J100" s="275"/>
      <c r="K100" s="273">
        <f t="shared" si="2"/>
        <v>189</v>
      </c>
      <c r="M100" s="96"/>
      <c r="N100" s="96"/>
      <c r="O100" s="96"/>
      <c r="P100" s="96"/>
      <c r="Q100" s="96"/>
      <c r="R100" s="99"/>
      <c r="S100" s="96"/>
      <c r="U100" s="248">
        <f t="shared" si="3"/>
        <v>189</v>
      </c>
      <c r="V100" s="249"/>
      <c r="W100" s="239"/>
      <c r="X100" s="240"/>
      <c r="Y100" s="240"/>
      <c r="Z100" s="240"/>
      <c r="AA100" s="280"/>
    </row>
    <row r="101" spans="2:27" ht="12.75">
      <c r="B101" s="273">
        <v>190</v>
      </c>
      <c r="C101" s="274"/>
      <c r="D101" s="275"/>
      <c r="E101" s="274"/>
      <c r="F101" s="275"/>
      <c r="G101" s="274"/>
      <c r="H101" s="275"/>
      <c r="I101" s="274"/>
      <c r="J101" s="275"/>
      <c r="K101" s="273">
        <f t="shared" si="2"/>
        <v>190</v>
      </c>
      <c r="M101" s="96"/>
      <c r="N101" s="96"/>
      <c r="O101" s="96"/>
      <c r="P101" s="96"/>
      <c r="Q101" s="96"/>
      <c r="R101" s="99"/>
      <c r="S101" s="96"/>
      <c r="U101" s="248">
        <f t="shared" si="3"/>
        <v>190</v>
      </c>
      <c r="V101" s="249"/>
      <c r="W101" s="239"/>
      <c r="X101" s="240"/>
      <c r="Y101" s="240"/>
      <c r="Z101" s="240"/>
      <c r="AA101" s="280"/>
    </row>
    <row r="102" spans="2:27" ht="12.75">
      <c r="B102" s="273">
        <v>191</v>
      </c>
      <c r="C102" s="274"/>
      <c r="D102" s="275"/>
      <c r="E102" s="274"/>
      <c r="F102" s="275"/>
      <c r="G102" s="274"/>
      <c r="H102" s="275"/>
      <c r="I102" s="274"/>
      <c r="J102" s="275"/>
      <c r="K102" s="273">
        <f t="shared" si="2"/>
        <v>191</v>
      </c>
      <c r="M102" s="96"/>
      <c r="N102" s="96"/>
      <c r="O102" s="96"/>
      <c r="P102" s="96"/>
      <c r="Q102" s="96"/>
      <c r="R102" s="99"/>
      <c r="S102" s="96"/>
      <c r="U102" s="248">
        <f t="shared" si="3"/>
        <v>191</v>
      </c>
      <c r="V102" s="249"/>
      <c r="W102" s="239"/>
      <c r="X102" s="240"/>
      <c r="Y102" s="240"/>
      <c r="Z102" s="240"/>
      <c r="AA102" s="280"/>
    </row>
    <row r="103" spans="2:27" ht="12.75">
      <c r="B103" s="273">
        <v>192</v>
      </c>
      <c r="C103" s="274"/>
      <c r="D103" s="275"/>
      <c r="E103" s="274"/>
      <c r="F103" s="275"/>
      <c r="G103" s="274"/>
      <c r="H103" s="275"/>
      <c r="I103" s="274"/>
      <c r="J103" s="275"/>
      <c r="K103" s="273">
        <f t="shared" si="2"/>
        <v>192</v>
      </c>
      <c r="M103" s="96"/>
      <c r="N103" s="96"/>
      <c r="O103" s="96"/>
      <c r="P103" s="96"/>
      <c r="Q103" s="96"/>
      <c r="R103" s="99"/>
      <c r="S103" s="96"/>
      <c r="U103" s="248">
        <f t="shared" si="3"/>
        <v>192</v>
      </c>
      <c r="V103" s="249"/>
      <c r="W103" s="239"/>
      <c r="X103" s="240"/>
      <c r="Y103" s="240"/>
      <c r="Z103" s="240"/>
      <c r="AA103" s="280"/>
    </row>
    <row r="104" spans="2:27" ht="12.75">
      <c r="B104" s="273">
        <v>193</v>
      </c>
      <c r="C104" s="274"/>
      <c r="D104" s="275"/>
      <c r="E104" s="274"/>
      <c r="F104" s="275"/>
      <c r="G104" s="274"/>
      <c r="H104" s="275"/>
      <c r="I104" s="274"/>
      <c r="J104" s="275"/>
      <c r="K104" s="273">
        <f t="shared" si="2"/>
        <v>193</v>
      </c>
      <c r="M104" s="96"/>
      <c r="N104" s="96"/>
      <c r="O104" s="96"/>
      <c r="P104" s="96"/>
      <c r="Q104" s="96"/>
      <c r="R104" s="99"/>
      <c r="S104" s="96"/>
      <c r="U104" s="248">
        <f t="shared" si="3"/>
        <v>193</v>
      </c>
      <c r="V104" s="249"/>
      <c r="W104" s="239"/>
      <c r="X104" s="240"/>
      <c r="Y104" s="240"/>
      <c r="Z104" s="240"/>
      <c r="AA104" s="280"/>
    </row>
    <row r="105" spans="2:27" ht="12.75">
      <c r="B105" s="273">
        <v>194</v>
      </c>
      <c r="C105" s="274"/>
      <c r="D105" s="275"/>
      <c r="E105" s="274"/>
      <c r="F105" s="275"/>
      <c r="G105" s="274"/>
      <c r="H105" s="275"/>
      <c r="I105" s="274"/>
      <c r="J105" s="275"/>
      <c r="K105" s="273">
        <f t="shared" si="2"/>
        <v>194</v>
      </c>
      <c r="M105" s="96"/>
      <c r="N105" s="96"/>
      <c r="O105" s="96"/>
      <c r="P105" s="96"/>
      <c r="Q105" s="96"/>
      <c r="R105" s="99"/>
      <c r="S105" s="96"/>
      <c r="U105" s="248">
        <f t="shared" si="3"/>
        <v>194</v>
      </c>
      <c r="V105" s="249"/>
      <c r="W105" s="239"/>
      <c r="X105" s="240"/>
      <c r="Y105" s="240"/>
      <c r="Z105" s="240"/>
      <c r="AA105" s="280"/>
    </row>
    <row r="106" spans="2:27" ht="12.75">
      <c r="B106" s="273">
        <v>195</v>
      </c>
      <c r="C106" s="274"/>
      <c r="D106" s="275"/>
      <c r="E106" s="274"/>
      <c r="F106" s="275"/>
      <c r="G106" s="274"/>
      <c r="H106" s="275"/>
      <c r="I106" s="274"/>
      <c r="J106" s="275"/>
      <c r="K106" s="273">
        <f t="shared" si="2"/>
        <v>195</v>
      </c>
      <c r="M106" s="96"/>
      <c r="N106" s="96"/>
      <c r="O106" s="96"/>
      <c r="P106" s="96"/>
      <c r="Q106" s="96"/>
      <c r="R106" s="99"/>
      <c r="S106" s="96"/>
      <c r="U106" s="248">
        <f t="shared" si="3"/>
        <v>195</v>
      </c>
      <c r="V106" s="249"/>
      <c r="W106" s="239"/>
      <c r="X106" s="240"/>
      <c r="Y106" s="240"/>
      <c r="Z106" s="240"/>
      <c r="AA106" s="280"/>
    </row>
    <row r="107" spans="2:27" ht="12.75">
      <c r="B107" s="273">
        <v>196</v>
      </c>
      <c r="C107" s="274"/>
      <c r="D107" s="275"/>
      <c r="E107" s="274"/>
      <c r="F107" s="275"/>
      <c r="G107" s="274"/>
      <c r="H107" s="275"/>
      <c r="I107" s="274"/>
      <c r="J107" s="275"/>
      <c r="K107" s="273">
        <f t="shared" si="2"/>
        <v>196</v>
      </c>
      <c r="M107" s="96"/>
      <c r="N107" s="96"/>
      <c r="O107" s="96"/>
      <c r="P107" s="96"/>
      <c r="Q107" s="96"/>
      <c r="R107" s="99"/>
      <c r="S107" s="96"/>
      <c r="U107" s="248">
        <f t="shared" si="3"/>
        <v>196</v>
      </c>
      <c r="V107" s="249"/>
      <c r="W107" s="239"/>
      <c r="X107" s="240"/>
      <c r="Y107" s="240"/>
      <c r="Z107" s="240"/>
      <c r="AA107" s="280"/>
    </row>
    <row r="108" spans="2:27" ht="12.75">
      <c r="B108" s="273">
        <v>197</v>
      </c>
      <c r="C108" s="274"/>
      <c r="D108" s="275"/>
      <c r="E108" s="274"/>
      <c r="F108" s="275"/>
      <c r="G108" s="274"/>
      <c r="H108" s="275"/>
      <c r="I108" s="274"/>
      <c r="J108" s="275"/>
      <c r="K108" s="273">
        <f t="shared" si="2"/>
        <v>197</v>
      </c>
      <c r="M108" s="96"/>
      <c r="N108" s="96"/>
      <c r="O108" s="96"/>
      <c r="P108" s="96"/>
      <c r="Q108" s="96"/>
      <c r="R108" s="99"/>
      <c r="S108" s="96"/>
      <c r="U108" s="248">
        <f t="shared" si="3"/>
        <v>197</v>
      </c>
      <c r="V108" s="249"/>
      <c r="W108" s="239"/>
      <c r="X108" s="240"/>
      <c r="Y108" s="240"/>
      <c r="Z108" s="240"/>
      <c r="AA108" s="280"/>
    </row>
    <row r="109" spans="2:27" ht="12.75">
      <c r="B109" s="273">
        <v>198</v>
      </c>
      <c r="C109" s="274"/>
      <c r="D109" s="275"/>
      <c r="E109" s="274"/>
      <c r="F109" s="275"/>
      <c r="G109" s="274"/>
      <c r="H109" s="275"/>
      <c r="I109" s="274"/>
      <c r="J109" s="275"/>
      <c r="K109" s="273">
        <f t="shared" si="2"/>
        <v>198</v>
      </c>
      <c r="M109" s="96"/>
      <c r="N109" s="96"/>
      <c r="O109" s="96"/>
      <c r="P109" s="96"/>
      <c r="Q109" s="96"/>
      <c r="R109" s="99"/>
      <c r="S109" s="96"/>
      <c r="U109" s="248">
        <f t="shared" si="3"/>
        <v>198</v>
      </c>
      <c r="V109" s="249"/>
      <c r="W109" s="239"/>
      <c r="X109" s="240"/>
      <c r="Y109" s="240"/>
      <c r="Z109" s="240"/>
      <c r="AA109" s="280"/>
    </row>
    <row r="110" spans="2:27" ht="12.75">
      <c r="B110" s="273">
        <v>199</v>
      </c>
      <c r="C110" s="274"/>
      <c r="D110" s="275"/>
      <c r="E110" s="274"/>
      <c r="F110" s="275"/>
      <c r="G110" s="274"/>
      <c r="H110" s="275"/>
      <c r="I110" s="274"/>
      <c r="J110" s="275"/>
      <c r="K110" s="273">
        <f t="shared" si="2"/>
        <v>199</v>
      </c>
      <c r="M110" s="96"/>
      <c r="N110" s="96"/>
      <c r="O110" s="96"/>
      <c r="P110" s="96"/>
      <c r="Q110" s="96"/>
      <c r="R110" s="99"/>
      <c r="S110" s="96"/>
      <c r="U110" s="248">
        <f t="shared" si="3"/>
        <v>199</v>
      </c>
      <c r="V110" s="249"/>
      <c r="W110" s="239"/>
      <c r="X110" s="240"/>
      <c r="Y110" s="240"/>
      <c r="Z110" s="240"/>
      <c r="AA110" s="280"/>
    </row>
    <row r="111" spans="2:27" ht="12.75">
      <c r="B111" s="273">
        <v>200</v>
      </c>
      <c r="C111" s="274"/>
      <c r="D111" s="275"/>
      <c r="E111" s="274"/>
      <c r="F111" s="275"/>
      <c r="G111" s="274"/>
      <c r="H111" s="275"/>
      <c r="I111" s="274"/>
      <c r="J111" s="275"/>
      <c r="K111" s="273">
        <f t="shared" si="2"/>
        <v>200</v>
      </c>
      <c r="M111" s="96"/>
      <c r="N111" s="96"/>
      <c r="O111" s="96"/>
      <c r="P111" s="96"/>
      <c r="Q111" s="96"/>
      <c r="R111" s="99"/>
      <c r="S111" s="96"/>
      <c r="U111" s="248">
        <f t="shared" si="3"/>
        <v>200</v>
      </c>
      <c r="V111" s="249"/>
      <c r="W111" s="239"/>
      <c r="X111" s="240"/>
      <c r="Y111" s="240"/>
      <c r="Z111" s="240"/>
      <c r="AA111" s="280"/>
    </row>
    <row r="112" spans="2:27" ht="12.75">
      <c r="B112" s="273">
        <v>201</v>
      </c>
      <c r="C112" s="274"/>
      <c r="D112" s="275"/>
      <c r="E112" s="274"/>
      <c r="F112" s="275"/>
      <c r="G112" s="274"/>
      <c r="H112" s="275"/>
      <c r="I112" s="274"/>
      <c r="J112" s="275"/>
      <c r="K112" s="273">
        <f t="shared" si="2"/>
        <v>201</v>
      </c>
      <c r="M112" s="96"/>
      <c r="N112" s="96"/>
      <c r="O112" s="96"/>
      <c r="P112" s="96"/>
      <c r="Q112" s="96"/>
      <c r="R112" s="99"/>
      <c r="S112" s="96"/>
      <c r="U112" s="248">
        <f t="shared" si="3"/>
        <v>201</v>
      </c>
      <c r="V112" s="249"/>
      <c r="W112" s="239"/>
      <c r="X112" s="240"/>
      <c r="Y112" s="240"/>
      <c r="Z112" s="240"/>
      <c r="AA112" s="280"/>
    </row>
    <row r="113" spans="2:27" ht="12.75">
      <c r="B113" s="273">
        <v>202</v>
      </c>
      <c r="C113" s="274"/>
      <c r="D113" s="275"/>
      <c r="E113" s="274"/>
      <c r="F113" s="275"/>
      <c r="G113" s="274"/>
      <c r="H113" s="275"/>
      <c r="I113" s="274"/>
      <c r="J113" s="275"/>
      <c r="K113" s="273">
        <f t="shared" si="2"/>
        <v>202</v>
      </c>
      <c r="M113" s="96"/>
      <c r="N113" s="96"/>
      <c r="O113" s="96"/>
      <c r="P113" s="96"/>
      <c r="Q113" s="96"/>
      <c r="R113" s="99"/>
      <c r="S113" s="96"/>
      <c r="U113" s="248">
        <f t="shared" si="3"/>
        <v>202</v>
      </c>
      <c r="V113" s="249"/>
      <c r="W113" s="239"/>
      <c r="X113" s="240"/>
      <c r="Y113" s="240"/>
      <c r="Z113" s="240"/>
      <c r="AA113" s="280"/>
    </row>
    <row r="114" spans="2:27" ht="12.75">
      <c r="B114" s="273">
        <v>203</v>
      </c>
      <c r="C114" s="274"/>
      <c r="D114" s="275"/>
      <c r="E114" s="274"/>
      <c r="F114" s="275"/>
      <c r="G114" s="274"/>
      <c r="H114" s="275"/>
      <c r="I114" s="274"/>
      <c r="J114" s="275"/>
      <c r="K114" s="273">
        <f t="shared" si="2"/>
        <v>203</v>
      </c>
      <c r="M114" s="96"/>
      <c r="N114" s="96"/>
      <c r="O114" s="96"/>
      <c r="P114" s="96"/>
      <c r="Q114" s="96"/>
      <c r="R114" s="99"/>
      <c r="S114" s="96"/>
      <c r="U114" s="248">
        <f t="shared" si="3"/>
        <v>203</v>
      </c>
      <c r="V114" s="249"/>
      <c r="W114" s="239"/>
      <c r="X114" s="240"/>
      <c r="Y114" s="240"/>
      <c r="Z114" s="240"/>
      <c r="AA114" s="280"/>
    </row>
    <row r="115" spans="2:27" ht="12.75">
      <c r="B115" s="273">
        <v>204</v>
      </c>
      <c r="C115" s="274"/>
      <c r="D115" s="275"/>
      <c r="E115" s="274"/>
      <c r="F115" s="275"/>
      <c r="G115" s="274"/>
      <c r="H115" s="275"/>
      <c r="I115" s="274"/>
      <c r="J115" s="275"/>
      <c r="K115" s="273">
        <f t="shared" si="2"/>
        <v>204</v>
      </c>
      <c r="M115" s="96"/>
      <c r="N115" s="96"/>
      <c r="O115" s="96"/>
      <c r="P115" s="96"/>
      <c r="Q115" s="96"/>
      <c r="R115" s="99"/>
      <c r="S115" s="96"/>
      <c r="U115" s="248">
        <f t="shared" si="3"/>
        <v>204</v>
      </c>
      <c r="V115" s="249"/>
      <c r="W115" s="239"/>
      <c r="X115" s="240"/>
      <c r="Y115" s="240"/>
      <c r="Z115" s="240"/>
      <c r="AA115" s="280"/>
    </row>
    <row r="116" spans="2:27" ht="12.75">
      <c r="B116" s="273">
        <v>205</v>
      </c>
      <c r="C116" s="274"/>
      <c r="D116" s="275"/>
      <c r="E116" s="274"/>
      <c r="F116" s="275"/>
      <c r="G116" s="274"/>
      <c r="H116" s="275"/>
      <c r="I116" s="274"/>
      <c r="J116" s="275"/>
      <c r="K116" s="273">
        <f t="shared" si="2"/>
        <v>205</v>
      </c>
      <c r="M116" s="96"/>
      <c r="N116" s="96"/>
      <c r="O116" s="96"/>
      <c r="P116" s="96"/>
      <c r="Q116" s="96"/>
      <c r="R116" s="99"/>
      <c r="S116" s="96"/>
      <c r="U116" s="248">
        <f t="shared" si="3"/>
        <v>205</v>
      </c>
      <c r="V116" s="249"/>
      <c r="W116" s="239"/>
      <c r="X116" s="240"/>
      <c r="Y116" s="240"/>
      <c r="Z116" s="240"/>
      <c r="AA116" s="280"/>
    </row>
    <row r="117" spans="2:27" ht="12.75">
      <c r="B117" s="273">
        <v>206</v>
      </c>
      <c r="C117" s="274"/>
      <c r="D117" s="275"/>
      <c r="E117" s="274"/>
      <c r="F117" s="275"/>
      <c r="G117" s="274"/>
      <c r="H117" s="275"/>
      <c r="I117" s="274"/>
      <c r="J117" s="275"/>
      <c r="K117" s="273">
        <f t="shared" si="2"/>
        <v>206</v>
      </c>
      <c r="M117" s="96"/>
      <c r="N117" s="96"/>
      <c r="O117" s="96"/>
      <c r="P117" s="96"/>
      <c r="Q117" s="96"/>
      <c r="R117" s="99"/>
      <c r="S117" s="96"/>
      <c r="U117" s="248">
        <f t="shared" si="3"/>
        <v>206</v>
      </c>
      <c r="V117" s="249"/>
      <c r="W117" s="239"/>
      <c r="X117" s="240"/>
      <c r="Y117" s="240"/>
      <c r="Z117" s="240"/>
      <c r="AA117" s="280"/>
    </row>
    <row r="118" spans="2:27" ht="12.75">
      <c r="B118" s="273">
        <v>207</v>
      </c>
      <c r="C118" s="274"/>
      <c r="D118" s="275"/>
      <c r="E118" s="274"/>
      <c r="F118" s="275"/>
      <c r="G118" s="274"/>
      <c r="H118" s="275"/>
      <c r="I118" s="274"/>
      <c r="J118" s="275"/>
      <c r="K118" s="273">
        <f t="shared" si="2"/>
        <v>207</v>
      </c>
      <c r="M118" s="96"/>
      <c r="N118" s="96"/>
      <c r="O118" s="96"/>
      <c r="P118" s="96"/>
      <c r="Q118" s="96"/>
      <c r="R118" s="99"/>
      <c r="S118" s="96"/>
      <c r="U118" s="248">
        <f t="shared" si="3"/>
        <v>207</v>
      </c>
      <c r="V118" s="249"/>
      <c r="W118" s="239"/>
      <c r="X118" s="240"/>
      <c r="Y118" s="240"/>
      <c r="Z118" s="240"/>
      <c r="AA118" s="280"/>
    </row>
    <row r="119" spans="2:27" ht="12.75">
      <c r="B119" s="273">
        <v>208</v>
      </c>
      <c r="C119" s="274"/>
      <c r="D119" s="275"/>
      <c r="E119" s="274"/>
      <c r="F119" s="275"/>
      <c r="G119" s="274"/>
      <c r="H119" s="275"/>
      <c r="I119" s="274"/>
      <c r="J119" s="275"/>
      <c r="K119" s="273">
        <f t="shared" si="2"/>
        <v>208</v>
      </c>
      <c r="M119" s="96"/>
      <c r="N119" s="96"/>
      <c r="O119" s="96"/>
      <c r="P119" s="96"/>
      <c r="Q119" s="96"/>
      <c r="R119" s="99"/>
      <c r="S119" s="96"/>
      <c r="U119" s="248">
        <f t="shared" si="3"/>
        <v>208</v>
      </c>
      <c r="V119" s="249"/>
      <c r="W119" s="239"/>
      <c r="X119" s="240"/>
      <c r="Y119" s="240"/>
      <c r="Z119" s="240"/>
      <c r="AA119" s="280"/>
    </row>
    <row r="120" spans="2:27" ht="12.75">
      <c r="B120" s="273">
        <v>209</v>
      </c>
      <c r="C120" s="274"/>
      <c r="D120" s="275"/>
      <c r="E120" s="274"/>
      <c r="F120" s="275"/>
      <c r="G120" s="274"/>
      <c r="H120" s="275"/>
      <c r="I120" s="274"/>
      <c r="J120" s="275"/>
      <c r="K120" s="273">
        <f t="shared" si="2"/>
        <v>209</v>
      </c>
      <c r="M120" s="96"/>
      <c r="N120" s="96"/>
      <c r="O120" s="96"/>
      <c r="P120" s="96"/>
      <c r="Q120" s="96"/>
      <c r="R120" s="99"/>
      <c r="S120" s="96"/>
      <c r="U120" s="248">
        <f t="shared" si="3"/>
        <v>209</v>
      </c>
      <c r="V120" s="249"/>
      <c r="W120" s="239"/>
      <c r="X120" s="240"/>
      <c r="Y120" s="240"/>
      <c r="Z120" s="240"/>
      <c r="AA120" s="280"/>
    </row>
    <row r="121" spans="2:27" ht="12.75">
      <c r="B121" s="273">
        <v>210</v>
      </c>
      <c r="C121" s="274"/>
      <c r="D121" s="275"/>
      <c r="E121" s="274"/>
      <c r="F121" s="275"/>
      <c r="G121" s="274"/>
      <c r="H121" s="275"/>
      <c r="I121" s="274"/>
      <c r="J121" s="275"/>
      <c r="K121" s="273">
        <f t="shared" si="2"/>
        <v>210</v>
      </c>
      <c r="M121" s="96"/>
      <c r="N121" s="96"/>
      <c r="O121" s="96"/>
      <c r="P121" s="96"/>
      <c r="Q121" s="96"/>
      <c r="R121" s="99"/>
      <c r="S121" s="96"/>
      <c r="U121" s="248">
        <f t="shared" si="3"/>
        <v>210</v>
      </c>
      <c r="V121" s="249"/>
      <c r="W121" s="239"/>
      <c r="X121" s="240"/>
      <c r="Y121" s="240"/>
      <c r="Z121" s="240"/>
      <c r="AA121" s="280"/>
    </row>
    <row r="122" spans="2:27" ht="12.75">
      <c r="B122" s="273">
        <v>211</v>
      </c>
      <c r="C122" s="274"/>
      <c r="D122" s="275"/>
      <c r="E122" s="274"/>
      <c r="F122" s="275"/>
      <c r="G122" s="274"/>
      <c r="H122" s="275"/>
      <c r="I122" s="274"/>
      <c r="J122" s="275"/>
      <c r="K122" s="273">
        <f t="shared" si="2"/>
        <v>211</v>
      </c>
      <c r="M122" s="96"/>
      <c r="N122" s="96"/>
      <c r="O122" s="96"/>
      <c r="P122" s="96"/>
      <c r="Q122" s="96"/>
      <c r="R122" s="99"/>
      <c r="S122" s="96"/>
      <c r="U122" s="248">
        <f t="shared" si="3"/>
        <v>211</v>
      </c>
      <c r="V122" s="249"/>
      <c r="W122" s="239"/>
      <c r="X122" s="240"/>
      <c r="Y122" s="240"/>
      <c r="Z122" s="240"/>
      <c r="AA122" s="280"/>
    </row>
    <row r="123" spans="2:27" ht="12.75">
      <c r="B123" s="273">
        <v>212</v>
      </c>
      <c r="C123" s="274"/>
      <c r="D123" s="275"/>
      <c r="E123" s="274"/>
      <c r="F123" s="275"/>
      <c r="G123" s="274"/>
      <c r="H123" s="275"/>
      <c r="I123" s="274"/>
      <c r="J123" s="275"/>
      <c r="K123" s="273">
        <f t="shared" si="2"/>
        <v>212</v>
      </c>
      <c r="M123" s="96"/>
      <c r="N123" s="96"/>
      <c r="O123" s="96"/>
      <c r="P123" s="96"/>
      <c r="Q123" s="96"/>
      <c r="R123" s="99"/>
      <c r="S123" s="96"/>
      <c r="U123" s="248">
        <f t="shared" si="3"/>
        <v>212</v>
      </c>
      <c r="V123" s="249"/>
      <c r="W123" s="239"/>
      <c r="X123" s="240"/>
      <c r="Y123" s="240"/>
      <c r="Z123" s="240"/>
      <c r="AA123" s="280"/>
    </row>
    <row r="124" spans="2:27" ht="12.75">
      <c r="B124" s="273">
        <v>213</v>
      </c>
      <c r="C124" s="274"/>
      <c r="D124" s="275"/>
      <c r="E124" s="274"/>
      <c r="F124" s="275"/>
      <c r="G124" s="274"/>
      <c r="H124" s="275"/>
      <c r="I124" s="274"/>
      <c r="J124" s="275"/>
      <c r="K124" s="273">
        <f t="shared" si="2"/>
        <v>213</v>
      </c>
      <c r="M124" s="96"/>
      <c r="N124" s="96"/>
      <c r="O124" s="96"/>
      <c r="P124" s="96"/>
      <c r="Q124" s="96"/>
      <c r="R124" s="99"/>
      <c r="S124" s="96"/>
      <c r="U124" s="248">
        <f t="shared" si="3"/>
        <v>213</v>
      </c>
      <c r="V124" s="249"/>
      <c r="W124" s="239"/>
      <c r="X124" s="240"/>
      <c r="Y124" s="240"/>
      <c r="Z124" s="240"/>
      <c r="AA124" s="280"/>
    </row>
    <row r="125" spans="2:27" ht="12.75">
      <c r="B125" s="273">
        <v>214</v>
      </c>
      <c r="C125" s="274"/>
      <c r="D125" s="275"/>
      <c r="E125" s="274"/>
      <c r="F125" s="275"/>
      <c r="G125" s="274"/>
      <c r="H125" s="275"/>
      <c r="I125" s="274"/>
      <c r="J125" s="275"/>
      <c r="K125" s="273">
        <f t="shared" si="2"/>
        <v>214</v>
      </c>
      <c r="M125" s="96"/>
      <c r="N125" s="96"/>
      <c r="O125" s="96"/>
      <c r="P125" s="96"/>
      <c r="Q125" s="96"/>
      <c r="R125" s="99"/>
      <c r="S125" s="96"/>
      <c r="U125" s="248">
        <f t="shared" si="3"/>
        <v>214</v>
      </c>
      <c r="V125" s="249"/>
      <c r="W125" s="239"/>
      <c r="X125" s="240"/>
      <c r="Y125" s="240"/>
      <c r="Z125" s="240"/>
      <c r="AA125" s="280"/>
    </row>
    <row r="126" spans="2:27" ht="12.75">
      <c r="B126" s="273">
        <v>215</v>
      </c>
      <c r="C126" s="274"/>
      <c r="D126" s="275"/>
      <c r="E126" s="274"/>
      <c r="F126" s="275"/>
      <c r="G126" s="274"/>
      <c r="H126" s="275"/>
      <c r="I126" s="274"/>
      <c r="J126" s="275"/>
      <c r="K126" s="273">
        <f t="shared" si="2"/>
        <v>215</v>
      </c>
      <c r="M126" s="96"/>
      <c r="N126" s="96"/>
      <c r="O126" s="96"/>
      <c r="P126" s="96"/>
      <c r="Q126" s="96"/>
      <c r="R126" s="99"/>
      <c r="S126" s="96"/>
      <c r="U126" s="248">
        <f t="shared" si="3"/>
        <v>215</v>
      </c>
      <c r="V126" s="249"/>
      <c r="W126" s="239"/>
      <c r="X126" s="240"/>
      <c r="Y126" s="240"/>
      <c r="Z126" s="240"/>
      <c r="AA126" s="280"/>
    </row>
    <row r="127" spans="2:27" ht="12.75">
      <c r="B127" s="273">
        <v>216</v>
      </c>
      <c r="C127" s="274"/>
      <c r="D127" s="275"/>
      <c r="E127" s="274"/>
      <c r="F127" s="275"/>
      <c r="G127" s="274"/>
      <c r="H127" s="275"/>
      <c r="I127" s="274"/>
      <c r="J127" s="275"/>
      <c r="K127" s="273">
        <f t="shared" si="2"/>
        <v>216</v>
      </c>
      <c r="M127" s="96"/>
      <c r="N127" s="96"/>
      <c r="O127" s="96"/>
      <c r="P127" s="96"/>
      <c r="Q127" s="96"/>
      <c r="R127" s="99"/>
      <c r="S127" s="96"/>
      <c r="U127" s="248">
        <f t="shared" si="3"/>
        <v>216</v>
      </c>
      <c r="V127" s="249"/>
      <c r="W127" s="239"/>
      <c r="X127" s="240"/>
      <c r="Y127" s="240"/>
      <c r="Z127" s="240"/>
      <c r="AA127" s="280"/>
    </row>
    <row r="128" spans="2:27" ht="12.75">
      <c r="B128" s="273">
        <v>217</v>
      </c>
      <c r="C128" s="274"/>
      <c r="D128" s="275"/>
      <c r="E128" s="274"/>
      <c r="F128" s="275"/>
      <c r="G128" s="274"/>
      <c r="H128" s="275"/>
      <c r="I128" s="274"/>
      <c r="J128" s="275"/>
      <c r="K128" s="273">
        <f t="shared" si="2"/>
        <v>217</v>
      </c>
      <c r="M128" s="96"/>
      <c r="N128" s="96"/>
      <c r="O128" s="96"/>
      <c r="P128" s="96"/>
      <c r="Q128" s="96"/>
      <c r="R128" s="99"/>
      <c r="S128" s="96"/>
      <c r="U128" s="248">
        <f t="shared" si="3"/>
        <v>217</v>
      </c>
      <c r="V128" s="249"/>
      <c r="W128" s="239"/>
      <c r="X128" s="240"/>
      <c r="Y128" s="240"/>
      <c r="Z128" s="240"/>
      <c r="AA128" s="280"/>
    </row>
    <row r="129" spans="2:27" ht="12.75">
      <c r="B129" s="273">
        <v>218</v>
      </c>
      <c r="C129" s="274"/>
      <c r="D129" s="275"/>
      <c r="E129" s="274"/>
      <c r="F129" s="275"/>
      <c r="G129" s="274"/>
      <c r="H129" s="275"/>
      <c r="I129" s="274"/>
      <c r="J129" s="275"/>
      <c r="K129" s="273">
        <f t="shared" si="2"/>
        <v>218</v>
      </c>
      <c r="M129" s="96"/>
      <c r="N129" s="96"/>
      <c r="O129" s="96"/>
      <c r="P129" s="96"/>
      <c r="Q129" s="96"/>
      <c r="R129" s="99"/>
      <c r="S129" s="96"/>
      <c r="U129" s="248">
        <f t="shared" si="3"/>
        <v>218</v>
      </c>
      <c r="V129" s="249"/>
      <c r="W129" s="239"/>
      <c r="X129" s="240"/>
      <c r="Y129" s="240"/>
      <c r="Z129" s="240"/>
      <c r="AA129" s="280"/>
    </row>
    <row r="130" spans="2:27" ht="12.75">
      <c r="B130" s="273">
        <v>219</v>
      </c>
      <c r="C130" s="274"/>
      <c r="D130" s="275"/>
      <c r="E130" s="274"/>
      <c r="F130" s="275"/>
      <c r="G130" s="274"/>
      <c r="H130" s="275"/>
      <c r="I130" s="274"/>
      <c r="J130" s="275"/>
      <c r="K130" s="273">
        <f t="shared" si="2"/>
        <v>219</v>
      </c>
      <c r="M130" s="96"/>
      <c r="N130" s="96"/>
      <c r="O130" s="96"/>
      <c r="P130" s="96"/>
      <c r="Q130" s="96"/>
      <c r="R130" s="99"/>
      <c r="S130" s="96"/>
      <c r="U130" s="248">
        <f t="shared" si="3"/>
        <v>219</v>
      </c>
      <c r="V130" s="249"/>
      <c r="W130" s="239"/>
      <c r="X130" s="240"/>
      <c r="Y130" s="240"/>
      <c r="Z130" s="240"/>
      <c r="AA130" s="280"/>
    </row>
    <row r="131" spans="2:27" ht="12.75">
      <c r="B131" s="273">
        <v>220</v>
      </c>
      <c r="C131" s="274"/>
      <c r="D131" s="275"/>
      <c r="E131" s="274"/>
      <c r="F131" s="275"/>
      <c r="G131" s="274"/>
      <c r="H131" s="275"/>
      <c r="I131" s="274"/>
      <c r="J131" s="275"/>
      <c r="K131" s="273">
        <f t="shared" si="2"/>
        <v>220</v>
      </c>
      <c r="M131" s="96"/>
      <c r="N131" s="96"/>
      <c r="O131" s="96"/>
      <c r="P131" s="96"/>
      <c r="Q131" s="96"/>
      <c r="R131" s="99"/>
      <c r="S131" s="96"/>
      <c r="U131" s="248">
        <f t="shared" si="3"/>
        <v>220</v>
      </c>
      <c r="V131" s="249"/>
      <c r="W131" s="239"/>
      <c r="X131" s="240"/>
      <c r="Y131" s="240"/>
      <c r="Z131" s="240"/>
      <c r="AA131" s="280"/>
    </row>
    <row r="132" spans="2:27" ht="12.75">
      <c r="B132" s="273">
        <v>221</v>
      </c>
      <c r="C132" s="274"/>
      <c r="D132" s="275"/>
      <c r="E132" s="274"/>
      <c r="F132" s="275"/>
      <c r="G132" s="274"/>
      <c r="H132" s="275"/>
      <c r="I132" s="274"/>
      <c r="J132" s="275"/>
      <c r="K132" s="273">
        <f t="shared" si="2"/>
        <v>221</v>
      </c>
      <c r="M132" s="96"/>
      <c r="N132" s="96"/>
      <c r="O132" s="96"/>
      <c r="P132" s="96"/>
      <c r="Q132" s="96"/>
      <c r="R132" s="99"/>
      <c r="S132" s="96"/>
      <c r="U132" s="248">
        <f t="shared" si="3"/>
        <v>221</v>
      </c>
      <c r="V132" s="249"/>
      <c r="W132" s="239"/>
      <c r="X132" s="240"/>
      <c r="Y132" s="240"/>
      <c r="Z132" s="240"/>
      <c r="AA132" s="280"/>
    </row>
    <row r="133" spans="2:27" ht="12.75">
      <c r="B133" s="273">
        <v>222</v>
      </c>
      <c r="C133" s="274"/>
      <c r="D133" s="275"/>
      <c r="E133" s="274"/>
      <c r="F133" s="275"/>
      <c r="G133" s="274"/>
      <c r="H133" s="275"/>
      <c r="I133" s="274"/>
      <c r="J133" s="275"/>
      <c r="K133" s="273">
        <f t="shared" si="2"/>
        <v>222</v>
      </c>
      <c r="M133" s="96"/>
      <c r="N133" s="96"/>
      <c r="O133" s="96"/>
      <c r="P133" s="96"/>
      <c r="Q133" s="96"/>
      <c r="R133" s="99"/>
      <c r="S133" s="96"/>
      <c r="U133" s="248">
        <f t="shared" si="3"/>
        <v>222</v>
      </c>
      <c r="V133" s="249"/>
      <c r="W133" s="239"/>
      <c r="X133" s="240"/>
      <c r="Y133" s="240"/>
      <c r="Z133" s="240"/>
      <c r="AA133" s="280"/>
    </row>
    <row r="134" spans="2:27" ht="12.75">
      <c r="B134" s="273">
        <v>223</v>
      </c>
      <c r="C134" s="274"/>
      <c r="D134" s="275"/>
      <c r="E134" s="274"/>
      <c r="F134" s="275"/>
      <c r="G134" s="274"/>
      <c r="H134" s="275"/>
      <c r="I134" s="274"/>
      <c r="J134" s="275"/>
      <c r="K134" s="273">
        <f t="shared" si="2"/>
        <v>223</v>
      </c>
      <c r="M134" s="96"/>
      <c r="N134" s="96"/>
      <c r="O134" s="96"/>
      <c r="P134" s="96"/>
      <c r="Q134" s="96"/>
      <c r="R134" s="99"/>
      <c r="S134" s="96"/>
      <c r="U134" s="248">
        <f t="shared" si="3"/>
        <v>223</v>
      </c>
      <c r="V134" s="249"/>
      <c r="W134" s="239"/>
      <c r="X134" s="240"/>
      <c r="Y134" s="240"/>
      <c r="Z134" s="240"/>
      <c r="AA134" s="280"/>
    </row>
    <row r="135" spans="2:27" ht="12.75">
      <c r="B135" s="273">
        <v>224</v>
      </c>
      <c r="C135" s="274"/>
      <c r="D135" s="275"/>
      <c r="E135" s="274"/>
      <c r="F135" s="275"/>
      <c r="G135" s="274"/>
      <c r="H135" s="275"/>
      <c r="I135" s="274"/>
      <c r="J135" s="275"/>
      <c r="K135" s="273">
        <f t="shared" si="2"/>
        <v>224</v>
      </c>
      <c r="M135" s="96"/>
      <c r="N135" s="96"/>
      <c r="O135" s="96"/>
      <c r="P135" s="96"/>
      <c r="Q135" s="96"/>
      <c r="R135" s="99"/>
      <c r="S135" s="96"/>
      <c r="U135" s="248">
        <f t="shared" si="3"/>
        <v>224</v>
      </c>
      <c r="V135" s="249"/>
      <c r="W135" s="239"/>
      <c r="X135" s="240"/>
      <c r="Y135" s="240"/>
      <c r="Z135" s="240"/>
      <c r="AA135" s="280"/>
    </row>
    <row r="136" spans="2:27" ht="12.75">
      <c r="B136" s="273">
        <v>225</v>
      </c>
      <c r="C136" s="274"/>
      <c r="D136" s="275"/>
      <c r="E136" s="274"/>
      <c r="F136" s="275"/>
      <c r="G136" s="274"/>
      <c r="H136" s="275"/>
      <c r="I136" s="274"/>
      <c r="J136" s="275"/>
      <c r="K136" s="273">
        <f t="shared" si="2"/>
        <v>225</v>
      </c>
      <c r="M136" s="96"/>
      <c r="N136" s="96"/>
      <c r="O136" s="96"/>
      <c r="P136" s="96"/>
      <c r="Q136" s="96"/>
      <c r="R136" s="99"/>
      <c r="S136" s="96"/>
      <c r="U136" s="248">
        <f t="shared" si="3"/>
        <v>225</v>
      </c>
      <c r="V136" s="249"/>
      <c r="W136" s="239"/>
      <c r="X136" s="240"/>
      <c r="Y136" s="240"/>
      <c r="Z136" s="240"/>
      <c r="AA136" s="280"/>
    </row>
    <row r="137" spans="2:27" ht="12.75">
      <c r="B137" s="273">
        <v>226</v>
      </c>
      <c r="C137" s="274"/>
      <c r="D137" s="275"/>
      <c r="E137" s="274"/>
      <c r="F137" s="275"/>
      <c r="G137" s="274"/>
      <c r="H137" s="275"/>
      <c r="I137" s="274"/>
      <c r="J137" s="275"/>
      <c r="K137" s="273">
        <f t="shared" si="2"/>
        <v>226</v>
      </c>
      <c r="M137" s="96"/>
      <c r="N137" s="96"/>
      <c r="O137" s="96"/>
      <c r="P137" s="96"/>
      <c r="Q137" s="96"/>
      <c r="R137" s="99"/>
      <c r="S137" s="96"/>
      <c r="U137" s="248">
        <f t="shared" si="3"/>
        <v>226</v>
      </c>
      <c r="V137" s="249"/>
      <c r="W137" s="239"/>
      <c r="X137" s="240"/>
      <c r="Y137" s="240"/>
      <c r="Z137" s="240"/>
      <c r="AA137" s="280"/>
    </row>
    <row r="138" spans="2:27" ht="12.75">
      <c r="B138" s="273">
        <v>227</v>
      </c>
      <c r="C138" s="274"/>
      <c r="D138" s="275"/>
      <c r="E138" s="274"/>
      <c r="F138" s="275"/>
      <c r="G138" s="274"/>
      <c r="H138" s="275"/>
      <c r="I138" s="274"/>
      <c r="J138" s="275"/>
      <c r="K138" s="273">
        <f t="shared" si="2"/>
        <v>227</v>
      </c>
      <c r="M138" s="96"/>
      <c r="N138" s="96"/>
      <c r="O138" s="96"/>
      <c r="P138" s="96"/>
      <c r="Q138" s="96"/>
      <c r="R138" s="99"/>
      <c r="S138" s="96"/>
      <c r="U138" s="248">
        <f t="shared" si="3"/>
        <v>227</v>
      </c>
      <c r="V138" s="249"/>
      <c r="W138" s="239"/>
      <c r="X138" s="240"/>
      <c r="Y138" s="240"/>
      <c r="Z138" s="240"/>
      <c r="AA138" s="280"/>
    </row>
    <row r="139" spans="2:27" ht="12.75">
      <c r="B139" s="273">
        <v>228</v>
      </c>
      <c r="C139" s="274"/>
      <c r="D139" s="275"/>
      <c r="E139" s="274"/>
      <c r="F139" s="275"/>
      <c r="G139" s="274"/>
      <c r="H139" s="275"/>
      <c r="I139" s="274"/>
      <c r="J139" s="275"/>
      <c r="K139" s="273">
        <f t="shared" si="2"/>
        <v>228</v>
      </c>
      <c r="M139" s="96"/>
      <c r="N139" s="96"/>
      <c r="O139" s="96"/>
      <c r="P139" s="96"/>
      <c r="Q139" s="96"/>
      <c r="R139" s="99"/>
      <c r="S139" s="96"/>
      <c r="U139" s="248">
        <f t="shared" si="3"/>
        <v>228</v>
      </c>
      <c r="V139" s="249"/>
      <c r="W139" s="239"/>
      <c r="X139" s="240"/>
      <c r="Y139" s="240"/>
      <c r="Z139" s="240"/>
      <c r="AA139" s="280"/>
    </row>
    <row r="140" spans="2:27" ht="12.75">
      <c r="B140" s="273">
        <v>229</v>
      </c>
      <c r="C140" s="274"/>
      <c r="D140" s="275"/>
      <c r="E140" s="274"/>
      <c r="F140" s="275"/>
      <c r="G140" s="274"/>
      <c r="H140" s="275"/>
      <c r="I140" s="274"/>
      <c r="J140" s="275"/>
      <c r="K140" s="273">
        <f aca="true" t="shared" si="4" ref="K140:K203">B140</f>
        <v>229</v>
      </c>
      <c r="M140" s="96"/>
      <c r="N140" s="96"/>
      <c r="O140" s="96"/>
      <c r="P140" s="96"/>
      <c r="Q140" s="96"/>
      <c r="R140" s="99"/>
      <c r="S140" s="96"/>
      <c r="U140" s="248">
        <f aca="true" t="shared" si="5" ref="U140:U203">K140</f>
        <v>229</v>
      </c>
      <c r="V140" s="249"/>
      <c r="W140" s="239"/>
      <c r="X140" s="240"/>
      <c r="Y140" s="240"/>
      <c r="Z140" s="240"/>
      <c r="AA140" s="280"/>
    </row>
    <row r="141" spans="2:27" ht="12.75">
      <c r="B141" s="273">
        <v>230</v>
      </c>
      <c r="C141" s="274"/>
      <c r="D141" s="275"/>
      <c r="E141" s="274"/>
      <c r="F141" s="275"/>
      <c r="G141" s="274"/>
      <c r="H141" s="275"/>
      <c r="I141" s="274"/>
      <c r="J141" s="275"/>
      <c r="K141" s="273">
        <f t="shared" si="4"/>
        <v>230</v>
      </c>
      <c r="M141" s="96"/>
      <c r="N141" s="96"/>
      <c r="O141" s="96"/>
      <c r="P141" s="96"/>
      <c r="Q141" s="96"/>
      <c r="R141" s="99"/>
      <c r="S141" s="96"/>
      <c r="U141" s="248">
        <f t="shared" si="5"/>
        <v>230</v>
      </c>
      <c r="V141" s="249"/>
      <c r="W141" s="239"/>
      <c r="X141" s="240"/>
      <c r="Y141" s="240"/>
      <c r="Z141" s="240"/>
      <c r="AA141" s="280"/>
    </row>
    <row r="142" spans="2:27" ht="12.75">
      <c r="B142" s="273">
        <v>231</v>
      </c>
      <c r="C142" s="274"/>
      <c r="D142" s="275"/>
      <c r="E142" s="274"/>
      <c r="F142" s="275"/>
      <c r="G142" s="274"/>
      <c r="H142" s="275"/>
      <c r="I142" s="274"/>
      <c r="J142" s="275"/>
      <c r="K142" s="273">
        <f t="shared" si="4"/>
        <v>231</v>
      </c>
      <c r="M142" s="96"/>
      <c r="N142" s="96"/>
      <c r="O142" s="96"/>
      <c r="P142" s="96"/>
      <c r="Q142" s="96"/>
      <c r="R142" s="99"/>
      <c r="S142" s="96"/>
      <c r="U142" s="248">
        <f t="shared" si="5"/>
        <v>231</v>
      </c>
      <c r="V142" s="249"/>
      <c r="W142" s="239"/>
      <c r="X142" s="240"/>
      <c r="Y142" s="240"/>
      <c r="Z142" s="240"/>
      <c r="AA142" s="280"/>
    </row>
    <row r="143" spans="2:27" ht="12.75">
      <c r="B143" s="273">
        <v>232</v>
      </c>
      <c r="C143" s="274"/>
      <c r="D143" s="275"/>
      <c r="E143" s="274"/>
      <c r="F143" s="275"/>
      <c r="G143" s="274"/>
      <c r="H143" s="275"/>
      <c r="I143" s="274"/>
      <c r="J143" s="275"/>
      <c r="K143" s="273">
        <f t="shared" si="4"/>
        <v>232</v>
      </c>
      <c r="M143" s="96"/>
      <c r="N143" s="96"/>
      <c r="O143" s="96"/>
      <c r="P143" s="96"/>
      <c r="Q143" s="96"/>
      <c r="R143" s="99"/>
      <c r="S143" s="96"/>
      <c r="U143" s="248">
        <f t="shared" si="5"/>
        <v>232</v>
      </c>
      <c r="V143" s="249"/>
      <c r="W143" s="239"/>
      <c r="X143" s="240"/>
      <c r="Y143" s="240"/>
      <c r="Z143" s="240"/>
      <c r="AA143" s="280"/>
    </row>
    <row r="144" spans="2:27" ht="12.75">
      <c r="B144" s="273">
        <v>233</v>
      </c>
      <c r="C144" s="274"/>
      <c r="D144" s="275"/>
      <c r="E144" s="274"/>
      <c r="F144" s="275"/>
      <c r="G144" s="274"/>
      <c r="H144" s="275"/>
      <c r="I144" s="274"/>
      <c r="J144" s="275"/>
      <c r="K144" s="273">
        <f t="shared" si="4"/>
        <v>233</v>
      </c>
      <c r="M144" s="96"/>
      <c r="N144" s="96"/>
      <c r="O144" s="96"/>
      <c r="P144" s="96"/>
      <c r="Q144" s="96"/>
      <c r="R144" s="99"/>
      <c r="S144" s="96"/>
      <c r="U144" s="248">
        <f t="shared" si="5"/>
        <v>233</v>
      </c>
      <c r="V144" s="249"/>
      <c r="W144" s="239"/>
      <c r="X144" s="240"/>
      <c r="Y144" s="240"/>
      <c r="Z144" s="240"/>
      <c r="AA144" s="280"/>
    </row>
    <row r="145" spans="2:27" ht="12.75">
      <c r="B145" s="273">
        <v>234</v>
      </c>
      <c r="C145" s="274"/>
      <c r="D145" s="275"/>
      <c r="E145" s="274"/>
      <c r="F145" s="275"/>
      <c r="G145" s="274"/>
      <c r="H145" s="275"/>
      <c r="I145" s="274"/>
      <c r="J145" s="275"/>
      <c r="K145" s="273">
        <f t="shared" si="4"/>
        <v>234</v>
      </c>
      <c r="M145" s="96"/>
      <c r="N145" s="96"/>
      <c r="O145" s="96"/>
      <c r="P145" s="96"/>
      <c r="Q145" s="96"/>
      <c r="R145" s="99"/>
      <c r="S145" s="96"/>
      <c r="U145" s="248">
        <f t="shared" si="5"/>
        <v>234</v>
      </c>
      <c r="V145" s="249"/>
      <c r="W145" s="239"/>
      <c r="X145" s="240"/>
      <c r="Y145" s="240"/>
      <c r="Z145" s="240"/>
      <c r="AA145" s="280"/>
    </row>
    <row r="146" spans="2:27" ht="12.75">
      <c r="B146" s="273">
        <v>235</v>
      </c>
      <c r="C146" s="274"/>
      <c r="D146" s="275"/>
      <c r="E146" s="274"/>
      <c r="F146" s="275"/>
      <c r="G146" s="274"/>
      <c r="H146" s="275"/>
      <c r="I146" s="274"/>
      <c r="J146" s="275"/>
      <c r="K146" s="273">
        <f t="shared" si="4"/>
        <v>235</v>
      </c>
      <c r="M146" s="96"/>
      <c r="N146" s="96"/>
      <c r="O146" s="96"/>
      <c r="P146" s="96"/>
      <c r="Q146" s="96"/>
      <c r="R146" s="99"/>
      <c r="S146" s="96"/>
      <c r="U146" s="248">
        <f t="shared" si="5"/>
        <v>235</v>
      </c>
      <c r="V146" s="249"/>
      <c r="W146" s="239"/>
      <c r="X146" s="240"/>
      <c r="Y146" s="240"/>
      <c r="Z146" s="240"/>
      <c r="AA146" s="280"/>
    </row>
    <row r="147" spans="2:27" ht="12.75">
      <c r="B147" s="273">
        <v>236</v>
      </c>
      <c r="C147" s="274"/>
      <c r="D147" s="275"/>
      <c r="E147" s="274"/>
      <c r="F147" s="275"/>
      <c r="G147" s="274"/>
      <c r="H147" s="275"/>
      <c r="I147" s="274"/>
      <c r="J147" s="275"/>
      <c r="K147" s="273">
        <f t="shared" si="4"/>
        <v>236</v>
      </c>
      <c r="M147" s="96"/>
      <c r="N147" s="96"/>
      <c r="O147" s="96"/>
      <c r="P147" s="96"/>
      <c r="Q147" s="96"/>
      <c r="R147" s="99"/>
      <c r="S147" s="96"/>
      <c r="U147" s="248">
        <f t="shared" si="5"/>
        <v>236</v>
      </c>
      <c r="V147" s="249"/>
      <c r="W147" s="239"/>
      <c r="X147" s="240"/>
      <c r="Y147" s="240"/>
      <c r="Z147" s="240"/>
      <c r="AA147" s="280"/>
    </row>
    <row r="148" spans="2:27" ht="12.75">
      <c r="B148" s="273">
        <v>237</v>
      </c>
      <c r="C148" s="274"/>
      <c r="D148" s="275"/>
      <c r="E148" s="274"/>
      <c r="F148" s="275"/>
      <c r="G148" s="274"/>
      <c r="H148" s="275"/>
      <c r="I148" s="274"/>
      <c r="J148" s="275"/>
      <c r="K148" s="273">
        <f t="shared" si="4"/>
        <v>237</v>
      </c>
      <c r="M148" s="96"/>
      <c r="N148" s="96"/>
      <c r="O148" s="96"/>
      <c r="P148" s="96"/>
      <c r="Q148" s="96"/>
      <c r="R148" s="99"/>
      <c r="S148" s="96"/>
      <c r="U148" s="248">
        <f t="shared" si="5"/>
        <v>237</v>
      </c>
      <c r="V148" s="249"/>
      <c r="W148" s="239"/>
      <c r="X148" s="240"/>
      <c r="Y148" s="240"/>
      <c r="Z148" s="240"/>
      <c r="AA148" s="280"/>
    </row>
    <row r="149" spans="2:27" ht="12.75">
      <c r="B149" s="273">
        <v>238</v>
      </c>
      <c r="C149" s="274"/>
      <c r="D149" s="275"/>
      <c r="E149" s="274"/>
      <c r="F149" s="275"/>
      <c r="G149" s="274"/>
      <c r="H149" s="275"/>
      <c r="I149" s="274"/>
      <c r="J149" s="275"/>
      <c r="K149" s="273">
        <f t="shared" si="4"/>
        <v>238</v>
      </c>
      <c r="M149" s="96"/>
      <c r="N149" s="96"/>
      <c r="O149" s="96"/>
      <c r="P149" s="96"/>
      <c r="Q149" s="96"/>
      <c r="R149" s="99"/>
      <c r="S149" s="96"/>
      <c r="U149" s="248">
        <f t="shared" si="5"/>
        <v>238</v>
      </c>
      <c r="V149" s="249"/>
      <c r="W149" s="239"/>
      <c r="X149" s="240"/>
      <c r="Y149" s="240"/>
      <c r="Z149" s="240"/>
      <c r="AA149" s="280"/>
    </row>
    <row r="150" spans="2:27" ht="12.75">
      <c r="B150" s="273">
        <v>239</v>
      </c>
      <c r="C150" s="274"/>
      <c r="D150" s="275"/>
      <c r="E150" s="274"/>
      <c r="F150" s="275"/>
      <c r="G150" s="274"/>
      <c r="H150" s="275"/>
      <c r="I150" s="274"/>
      <c r="J150" s="275"/>
      <c r="K150" s="273">
        <f t="shared" si="4"/>
        <v>239</v>
      </c>
      <c r="M150" s="96"/>
      <c r="N150" s="96"/>
      <c r="O150" s="96"/>
      <c r="P150" s="96"/>
      <c r="Q150" s="96"/>
      <c r="R150" s="99"/>
      <c r="S150" s="96"/>
      <c r="U150" s="248">
        <f t="shared" si="5"/>
        <v>239</v>
      </c>
      <c r="V150" s="249"/>
      <c r="W150" s="239"/>
      <c r="X150" s="240"/>
      <c r="Y150" s="240"/>
      <c r="Z150" s="240"/>
      <c r="AA150" s="280"/>
    </row>
    <row r="151" spans="2:27" ht="12.75">
      <c r="B151" s="273">
        <v>240</v>
      </c>
      <c r="C151" s="274"/>
      <c r="D151" s="275"/>
      <c r="E151" s="274"/>
      <c r="F151" s="275"/>
      <c r="G151" s="274"/>
      <c r="H151" s="275"/>
      <c r="I151" s="274"/>
      <c r="J151" s="275"/>
      <c r="K151" s="273">
        <f t="shared" si="4"/>
        <v>240</v>
      </c>
      <c r="M151" s="96"/>
      <c r="N151" s="96"/>
      <c r="O151" s="96"/>
      <c r="P151" s="96"/>
      <c r="Q151" s="96"/>
      <c r="R151" s="99"/>
      <c r="S151" s="96"/>
      <c r="U151" s="248">
        <f t="shared" si="5"/>
        <v>240</v>
      </c>
      <c r="V151" s="249"/>
      <c r="W151" s="239"/>
      <c r="X151" s="240"/>
      <c r="Y151" s="240"/>
      <c r="Z151" s="240"/>
      <c r="AA151" s="280"/>
    </row>
    <row r="152" spans="2:27" ht="12.75">
      <c r="B152" s="273">
        <v>241</v>
      </c>
      <c r="C152" s="274"/>
      <c r="D152" s="275"/>
      <c r="E152" s="274"/>
      <c r="F152" s="275"/>
      <c r="G152" s="274"/>
      <c r="H152" s="275"/>
      <c r="I152" s="274"/>
      <c r="J152" s="275"/>
      <c r="K152" s="273">
        <f t="shared" si="4"/>
        <v>241</v>
      </c>
      <c r="M152" s="96"/>
      <c r="N152" s="96"/>
      <c r="O152" s="96"/>
      <c r="P152" s="96"/>
      <c r="Q152" s="96"/>
      <c r="R152" s="99"/>
      <c r="S152" s="96"/>
      <c r="U152" s="248">
        <f t="shared" si="5"/>
        <v>241</v>
      </c>
      <c r="V152" s="249"/>
      <c r="W152" s="239"/>
      <c r="X152" s="240"/>
      <c r="Y152" s="240"/>
      <c r="Z152" s="240"/>
      <c r="AA152" s="280"/>
    </row>
    <row r="153" spans="2:27" ht="12.75">
      <c r="B153" s="273">
        <v>242</v>
      </c>
      <c r="C153" s="274"/>
      <c r="D153" s="275"/>
      <c r="E153" s="274"/>
      <c r="F153" s="275"/>
      <c r="G153" s="274"/>
      <c r="H153" s="275"/>
      <c r="I153" s="274"/>
      <c r="J153" s="275"/>
      <c r="K153" s="273">
        <f t="shared" si="4"/>
        <v>242</v>
      </c>
      <c r="M153" s="96"/>
      <c r="N153" s="96"/>
      <c r="O153" s="96"/>
      <c r="P153" s="96"/>
      <c r="Q153" s="96"/>
      <c r="R153" s="99"/>
      <c r="S153" s="96"/>
      <c r="U153" s="248">
        <f t="shared" si="5"/>
        <v>242</v>
      </c>
      <c r="V153" s="249"/>
      <c r="W153" s="239"/>
      <c r="X153" s="240"/>
      <c r="Y153" s="240"/>
      <c r="Z153" s="240"/>
      <c r="AA153" s="280"/>
    </row>
    <row r="154" spans="2:27" ht="12.75">
      <c r="B154" s="273">
        <v>243</v>
      </c>
      <c r="C154" s="274"/>
      <c r="D154" s="275"/>
      <c r="E154" s="274"/>
      <c r="F154" s="275"/>
      <c r="G154" s="274"/>
      <c r="H154" s="275"/>
      <c r="I154" s="274"/>
      <c r="J154" s="275"/>
      <c r="K154" s="273">
        <f t="shared" si="4"/>
        <v>243</v>
      </c>
      <c r="M154" s="96"/>
      <c r="N154" s="96"/>
      <c r="O154" s="96"/>
      <c r="P154" s="96"/>
      <c r="Q154" s="96"/>
      <c r="R154" s="99"/>
      <c r="S154" s="96"/>
      <c r="U154" s="248">
        <f t="shared" si="5"/>
        <v>243</v>
      </c>
      <c r="V154" s="249"/>
      <c r="W154" s="239"/>
      <c r="X154" s="240"/>
      <c r="Y154" s="240"/>
      <c r="Z154" s="240"/>
      <c r="AA154" s="280"/>
    </row>
    <row r="155" spans="2:27" ht="12.75">
      <c r="B155" s="273">
        <v>244</v>
      </c>
      <c r="C155" s="274"/>
      <c r="D155" s="275"/>
      <c r="E155" s="274"/>
      <c r="F155" s="275"/>
      <c r="G155" s="274"/>
      <c r="H155" s="275"/>
      <c r="I155" s="274"/>
      <c r="J155" s="275"/>
      <c r="K155" s="273">
        <f t="shared" si="4"/>
        <v>244</v>
      </c>
      <c r="M155" s="96"/>
      <c r="N155" s="96"/>
      <c r="O155" s="96"/>
      <c r="P155" s="96"/>
      <c r="Q155" s="96"/>
      <c r="R155" s="99"/>
      <c r="S155" s="96"/>
      <c r="U155" s="248">
        <f t="shared" si="5"/>
        <v>244</v>
      </c>
      <c r="V155" s="249"/>
      <c r="W155" s="239"/>
      <c r="X155" s="240"/>
      <c r="Y155" s="240"/>
      <c r="Z155" s="240"/>
      <c r="AA155" s="280"/>
    </row>
    <row r="156" spans="2:27" ht="12.75">
      <c r="B156" s="273">
        <v>245</v>
      </c>
      <c r="C156" s="274"/>
      <c r="D156" s="275"/>
      <c r="E156" s="274"/>
      <c r="F156" s="275"/>
      <c r="G156" s="274"/>
      <c r="H156" s="275"/>
      <c r="I156" s="274"/>
      <c r="J156" s="275"/>
      <c r="K156" s="273">
        <f t="shared" si="4"/>
        <v>245</v>
      </c>
      <c r="M156" s="96"/>
      <c r="N156" s="96"/>
      <c r="O156" s="96"/>
      <c r="P156" s="96"/>
      <c r="Q156" s="96"/>
      <c r="R156" s="99"/>
      <c r="S156" s="96"/>
      <c r="U156" s="248">
        <f t="shared" si="5"/>
        <v>245</v>
      </c>
      <c r="V156" s="249"/>
      <c r="W156" s="239"/>
      <c r="X156" s="240"/>
      <c r="Y156" s="240"/>
      <c r="Z156" s="240"/>
      <c r="AA156" s="280"/>
    </row>
    <row r="157" spans="2:27" ht="12.75">
      <c r="B157" s="273">
        <v>246</v>
      </c>
      <c r="C157" s="274"/>
      <c r="D157" s="275"/>
      <c r="E157" s="274"/>
      <c r="F157" s="275"/>
      <c r="G157" s="274"/>
      <c r="H157" s="275"/>
      <c r="I157" s="274"/>
      <c r="J157" s="275"/>
      <c r="K157" s="273">
        <f t="shared" si="4"/>
        <v>246</v>
      </c>
      <c r="M157" s="96"/>
      <c r="N157" s="96"/>
      <c r="O157" s="96"/>
      <c r="P157" s="96"/>
      <c r="Q157" s="96"/>
      <c r="R157" s="99"/>
      <c r="S157" s="96"/>
      <c r="U157" s="248">
        <f t="shared" si="5"/>
        <v>246</v>
      </c>
      <c r="V157" s="249"/>
      <c r="W157" s="239"/>
      <c r="X157" s="240"/>
      <c r="Y157" s="240"/>
      <c r="Z157" s="240"/>
      <c r="AA157" s="280"/>
    </row>
    <row r="158" spans="2:27" ht="12.75">
      <c r="B158" s="273">
        <v>247</v>
      </c>
      <c r="C158" s="274"/>
      <c r="D158" s="275"/>
      <c r="E158" s="274"/>
      <c r="F158" s="275"/>
      <c r="G158" s="274"/>
      <c r="H158" s="275"/>
      <c r="I158" s="274"/>
      <c r="J158" s="275"/>
      <c r="K158" s="273">
        <f t="shared" si="4"/>
        <v>247</v>
      </c>
      <c r="M158" s="96"/>
      <c r="N158" s="96"/>
      <c r="O158" s="96"/>
      <c r="P158" s="96"/>
      <c r="Q158" s="96"/>
      <c r="R158" s="99"/>
      <c r="S158" s="96"/>
      <c r="U158" s="248">
        <f t="shared" si="5"/>
        <v>247</v>
      </c>
      <c r="V158" s="249"/>
      <c r="W158" s="239"/>
      <c r="X158" s="240"/>
      <c r="Y158" s="240"/>
      <c r="Z158" s="240"/>
      <c r="AA158" s="280"/>
    </row>
    <row r="159" spans="2:27" ht="12.75">
      <c r="B159" s="273">
        <v>248</v>
      </c>
      <c r="C159" s="274"/>
      <c r="D159" s="275"/>
      <c r="E159" s="274"/>
      <c r="F159" s="275"/>
      <c r="G159" s="274"/>
      <c r="H159" s="275"/>
      <c r="I159" s="274"/>
      <c r="J159" s="275"/>
      <c r="K159" s="273">
        <f t="shared" si="4"/>
        <v>248</v>
      </c>
      <c r="M159" s="96"/>
      <c r="N159" s="96"/>
      <c r="O159" s="96"/>
      <c r="P159" s="96"/>
      <c r="Q159" s="96"/>
      <c r="R159" s="99"/>
      <c r="S159" s="96"/>
      <c r="U159" s="248">
        <f t="shared" si="5"/>
        <v>248</v>
      </c>
      <c r="V159" s="249"/>
      <c r="W159" s="239"/>
      <c r="X159" s="240"/>
      <c r="Y159" s="240"/>
      <c r="Z159" s="240"/>
      <c r="AA159" s="280"/>
    </row>
    <row r="160" spans="2:27" ht="12.75">
      <c r="B160" s="273">
        <v>249</v>
      </c>
      <c r="C160" s="274"/>
      <c r="D160" s="275"/>
      <c r="E160" s="274"/>
      <c r="F160" s="275"/>
      <c r="G160" s="274"/>
      <c r="H160" s="275"/>
      <c r="I160" s="274"/>
      <c r="J160" s="275"/>
      <c r="K160" s="273">
        <f t="shared" si="4"/>
        <v>249</v>
      </c>
      <c r="M160" s="96"/>
      <c r="N160" s="96"/>
      <c r="O160" s="96"/>
      <c r="P160" s="96"/>
      <c r="Q160" s="96"/>
      <c r="R160" s="99"/>
      <c r="S160" s="96"/>
      <c r="U160" s="248">
        <f t="shared" si="5"/>
        <v>249</v>
      </c>
      <c r="V160" s="249"/>
      <c r="W160" s="239"/>
      <c r="X160" s="240"/>
      <c r="Y160" s="240"/>
      <c r="Z160" s="240"/>
      <c r="AA160" s="280"/>
    </row>
    <row r="161" spans="2:27" ht="12.75">
      <c r="B161" s="273">
        <v>250</v>
      </c>
      <c r="C161" s="274"/>
      <c r="D161" s="275"/>
      <c r="E161" s="274"/>
      <c r="F161" s="275"/>
      <c r="G161" s="274"/>
      <c r="H161" s="275"/>
      <c r="I161" s="274"/>
      <c r="J161" s="275"/>
      <c r="K161" s="273">
        <f t="shared" si="4"/>
        <v>250</v>
      </c>
      <c r="M161" s="96"/>
      <c r="N161" s="96"/>
      <c r="O161" s="96"/>
      <c r="P161" s="96"/>
      <c r="Q161" s="96"/>
      <c r="R161" s="99"/>
      <c r="S161" s="96"/>
      <c r="U161" s="248">
        <f t="shared" si="5"/>
        <v>250</v>
      </c>
      <c r="V161" s="249"/>
      <c r="W161" s="239"/>
      <c r="X161" s="240"/>
      <c r="Y161" s="240"/>
      <c r="Z161" s="240"/>
      <c r="AA161" s="280"/>
    </row>
    <row r="162" spans="2:27" ht="12.75">
      <c r="B162" s="273">
        <v>251</v>
      </c>
      <c r="C162" s="274"/>
      <c r="D162" s="275"/>
      <c r="E162" s="274"/>
      <c r="F162" s="275"/>
      <c r="G162" s="274"/>
      <c r="H162" s="275"/>
      <c r="I162" s="274"/>
      <c r="J162" s="275"/>
      <c r="K162" s="273">
        <f t="shared" si="4"/>
        <v>251</v>
      </c>
      <c r="M162" s="96"/>
      <c r="N162" s="96"/>
      <c r="O162" s="96"/>
      <c r="P162" s="96"/>
      <c r="Q162" s="96"/>
      <c r="R162" s="99"/>
      <c r="S162" s="96"/>
      <c r="U162" s="248">
        <f t="shared" si="5"/>
        <v>251</v>
      </c>
      <c r="V162" s="249"/>
      <c r="W162" s="239"/>
      <c r="X162" s="240"/>
      <c r="Y162" s="240"/>
      <c r="Z162" s="240"/>
      <c r="AA162" s="280"/>
    </row>
    <row r="163" spans="2:27" ht="12.75">
      <c r="B163" s="273">
        <v>252</v>
      </c>
      <c r="C163" s="274"/>
      <c r="D163" s="275"/>
      <c r="E163" s="274"/>
      <c r="F163" s="275"/>
      <c r="G163" s="274"/>
      <c r="H163" s="275"/>
      <c r="I163" s="274"/>
      <c r="J163" s="275"/>
      <c r="K163" s="273">
        <f t="shared" si="4"/>
        <v>252</v>
      </c>
      <c r="M163" s="96"/>
      <c r="N163" s="96"/>
      <c r="O163" s="96"/>
      <c r="P163" s="96"/>
      <c r="Q163" s="96"/>
      <c r="R163" s="99"/>
      <c r="S163" s="96"/>
      <c r="U163" s="248">
        <f t="shared" si="5"/>
        <v>252</v>
      </c>
      <c r="V163" s="249"/>
      <c r="W163" s="239"/>
      <c r="X163" s="240"/>
      <c r="Y163" s="240"/>
      <c r="Z163" s="240"/>
      <c r="AA163" s="280"/>
    </row>
    <row r="164" spans="2:27" ht="12.75">
      <c r="B164" s="273">
        <v>253</v>
      </c>
      <c r="C164" s="274"/>
      <c r="D164" s="275"/>
      <c r="E164" s="274"/>
      <c r="F164" s="275"/>
      <c r="G164" s="274"/>
      <c r="H164" s="275"/>
      <c r="I164" s="274"/>
      <c r="J164" s="275"/>
      <c r="K164" s="273">
        <f t="shared" si="4"/>
        <v>253</v>
      </c>
      <c r="M164" s="96"/>
      <c r="N164" s="96"/>
      <c r="O164" s="96"/>
      <c r="P164" s="96"/>
      <c r="Q164" s="96"/>
      <c r="R164" s="99"/>
      <c r="S164" s="96"/>
      <c r="U164" s="248">
        <f t="shared" si="5"/>
        <v>253</v>
      </c>
      <c r="V164" s="249"/>
      <c r="W164" s="239"/>
      <c r="X164" s="240"/>
      <c r="Y164" s="240"/>
      <c r="Z164" s="240"/>
      <c r="AA164" s="280"/>
    </row>
    <row r="165" spans="2:27" ht="12.75">
      <c r="B165" s="273">
        <v>254</v>
      </c>
      <c r="C165" s="274"/>
      <c r="D165" s="275"/>
      <c r="E165" s="274"/>
      <c r="F165" s="275"/>
      <c r="G165" s="274"/>
      <c r="H165" s="275"/>
      <c r="I165" s="274"/>
      <c r="J165" s="275"/>
      <c r="K165" s="273">
        <f t="shared" si="4"/>
        <v>254</v>
      </c>
      <c r="M165" s="96"/>
      <c r="N165" s="96"/>
      <c r="O165" s="96"/>
      <c r="P165" s="96"/>
      <c r="Q165" s="96"/>
      <c r="R165" s="99"/>
      <c r="S165" s="96"/>
      <c r="U165" s="248">
        <f t="shared" si="5"/>
        <v>254</v>
      </c>
      <c r="V165" s="249"/>
      <c r="W165" s="239"/>
      <c r="X165" s="240"/>
      <c r="Y165" s="240"/>
      <c r="Z165" s="240"/>
      <c r="AA165" s="280"/>
    </row>
    <row r="166" spans="2:27" ht="12.75">
      <c r="B166" s="273">
        <v>255</v>
      </c>
      <c r="C166" s="274"/>
      <c r="D166" s="275"/>
      <c r="E166" s="274"/>
      <c r="F166" s="275"/>
      <c r="G166" s="274"/>
      <c r="H166" s="275"/>
      <c r="I166" s="274"/>
      <c r="J166" s="275"/>
      <c r="K166" s="273">
        <f t="shared" si="4"/>
        <v>255</v>
      </c>
      <c r="M166" s="96"/>
      <c r="N166" s="96"/>
      <c r="O166" s="96"/>
      <c r="P166" s="96"/>
      <c r="Q166" s="96"/>
      <c r="R166" s="99"/>
      <c r="S166" s="96"/>
      <c r="U166" s="248">
        <f t="shared" si="5"/>
        <v>255</v>
      </c>
      <c r="V166" s="249"/>
      <c r="W166" s="239"/>
      <c r="X166" s="240"/>
      <c r="Y166" s="240"/>
      <c r="Z166" s="240"/>
      <c r="AA166" s="280"/>
    </row>
    <row r="167" spans="2:27" ht="12.75">
      <c r="B167" s="273">
        <v>256</v>
      </c>
      <c r="C167" s="274"/>
      <c r="D167" s="275"/>
      <c r="E167" s="274"/>
      <c r="F167" s="275"/>
      <c r="G167" s="274"/>
      <c r="H167" s="275"/>
      <c r="I167" s="274"/>
      <c r="J167" s="275"/>
      <c r="K167" s="273">
        <f t="shared" si="4"/>
        <v>256</v>
      </c>
      <c r="M167" s="96"/>
      <c r="N167" s="96"/>
      <c r="O167" s="96"/>
      <c r="P167" s="96"/>
      <c r="Q167" s="96"/>
      <c r="R167" s="99"/>
      <c r="S167" s="96"/>
      <c r="U167" s="248">
        <f t="shared" si="5"/>
        <v>256</v>
      </c>
      <c r="V167" s="249"/>
      <c r="W167" s="239"/>
      <c r="X167" s="240"/>
      <c r="Y167" s="240"/>
      <c r="Z167" s="240"/>
      <c r="AA167" s="280"/>
    </row>
    <row r="168" spans="2:27" ht="12.75">
      <c r="B168" s="273">
        <v>257</v>
      </c>
      <c r="C168" s="274"/>
      <c r="D168" s="275"/>
      <c r="E168" s="274"/>
      <c r="F168" s="275"/>
      <c r="G168" s="274"/>
      <c r="H168" s="275"/>
      <c r="I168" s="274"/>
      <c r="J168" s="275"/>
      <c r="K168" s="273">
        <f t="shared" si="4"/>
        <v>257</v>
      </c>
      <c r="M168" s="96"/>
      <c r="N168" s="96"/>
      <c r="O168" s="96"/>
      <c r="P168" s="96"/>
      <c r="Q168" s="96"/>
      <c r="R168" s="99"/>
      <c r="S168" s="96"/>
      <c r="U168" s="248">
        <f t="shared" si="5"/>
        <v>257</v>
      </c>
      <c r="V168" s="249"/>
      <c r="W168" s="239"/>
      <c r="X168" s="240"/>
      <c r="Y168" s="240"/>
      <c r="Z168" s="240"/>
      <c r="AA168" s="280"/>
    </row>
    <row r="169" spans="2:27" ht="12.75">
      <c r="B169" s="273">
        <v>258</v>
      </c>
      <c r="C169" s="274"/>
      <c r="D169" s="275"/>
      <c r="E169" s="274"/>
      <c r="F169" s="275"/>
      <c r="G169" s="274"/>
      <c r="H169" s="275"/>
      <c r="I169" s="274"/>
      <c r="J169" s="275"/>
      <c r="K169" s="273">
        <f t="shared" si="4"/>
        <v>258</v>
      </c>
      <c r="M169" s="96"/>
      <c r="N169" s="96"/>
      <c r="O169" s="96"/>
      <c r="P169" s="96"/>
      <c r="Q169" s="96"/>
      <c r="R169" s="99"/>
      <c r="S169" s="96"/>
      <c r="U169" s="248">
        <f t="shared" si="5"/>
        <v>258</v>
      </c>
      <c r="V169" s="249"/>
      <c r="W169" s="239"/>
      <c r="X169" s="240"/>
      <c r="Y169" s="240"/>
      <c r="Z169" s="240"/>
      <c r="AA169" s="280"/>
    </row>
    <row r="170" spans="2:27" ht="12.75">
      <c r="B170" s="273">
        <v>259</v>
      </c>
      <c r="C170" s="274"/>
      <c r="D170" s="275"/>
      <c r="E170" s="274"/>
      <c r="F170" s="275"/>
      <c r="G170" s="274"/>
      <c r="H170" s="275"/>
      <c r="I170" s="274"/>
      <c r="J170" s="275"/>
      <c r="K170" s="273">
        <f t="shared" si="4"/>
        <v>259</v>
      </c>
      <c r="M170" s="96"/>
      <c r="N170" s="96"/>
      <c r="O170" s="96"/>
      <c r="P170" s="96"/>
      <c r="Q170" s="96"/>
      <c r="R170" s="99"/>
      <c r="S170" s="96"/>
      <c r="U170" s="248">
        <f t="shared" si="5"/>
        <v>259</v>
      </c>
      <c r="V170" s="249"/>
      <c r="W170" s="239"/>
      <c r="X170" s="240"/>
      <c r="Y170" s="240"/>
      <c r="Z170" s="240"/>
      <c r="AA170" s="280"/>
    </row>
    <row r="171" spans="2:27" ht="12.75">
      <c r="B171" s="273">
        <v>260</v>
      </c>
      <c r="C171" s="274"/>
      <c r="D171" s="275"/>
      <c r="E171" s="274"/>
      <c r="F171" s="275"/>
      <c r="G171" s="274"/>
      <c r="H171" s="275"/>
      <c r="I171" s="274"/>
      <c r="J171" s="275"/>
      <c r="K171" s="273">
        <f t="shared" si="4"/>
        <v>260</v>
      </c>
      <c r="M171" s="96"/>
      <c r="N171" s="96"/>
      <c r="O171" s="96"/>
      <c r="P171" s="96"/>
      <c r="Q171" s="96"/>
      <c r="R171" s="99"/>
      <c r="S171" s="96"/>
      <c r="U171" s="248">
        <f t="shared" si="5"/>
        <v>260</v>
      </c>
      <c r="V171" s="249"/>
      <c r="W171" s="239"/>
      <c r="X171" s="240"/>
      <c r="Y171" s="240"/>
      <c r="Z171" s="240"/>
      <c r="AA171" s="280"/>
    </row>
    <row r="172" spans="2:27" ht="12.75">
      <c r="B172" s="273">
        <v>261</v>
      </c>
      <c r="C172" s="274"/>
      <c r="D172" s="275"/>
      <c r="E172" s="274"/>
      <c r="F172" s="275"/>
      <c r="G172" s="274"/>
      <c r="H172" s="275"/>
      <c r="I172" s="274"/>
      <c r="J172" s="275"/>
      <c r="K172" s="273">
        <f t="shared" si="4"/>
        <v>261</v>
      </c>
      <c r="M172" s="96"/>
      <c r="N172" s="96"/>
      <c r="O172" s="96"/>
      <c r="P172" s="96"/>
      <c r="Q172" s="96"/>
      <c r="R172" s="99"/>
      <c r="S172" s="96"/>
      <c r="U172" s="248">
        <f t="shared" si="5"/>
        <v>261</v>
      </c>
      <c r="V172" s="249"/>
      <c r="W172" s="239"/>
      <c r="X172" s="240"/>
      <c r="Y172" s="240"/>
      <c r="Z172" s="240"/>
      <c r="AA172" s="280"/>
    </row>
    <row r="173" spans="2:27" ht="12.75">
      <c r="B173" s="273">
        <v>262</v>
      </c>
      <c r="C173" s="274"/>
      <c r="D173" s="275"/>
      <c r="E173" s="274"/>
      <c r="F173" s="275"/>
      <c r="G173" s="274"/>
      <c r="H173" s="275"/>
      <c r="I173" s="274"/>
      <c r="J173" s="275"/>
      <c r="K173" s="273">
        <f t="shared" si="4"/>
        <v>262</v>
      </c>
      <c r="M173" s="96"/>
      <c r="N173" s="96"/>
      <c r="O173" s="96"/>
      <c r="P173" s="96"/>
      <c r="Q173" s="96"/>
      <c r="R173" s="99"/>
      <c r="S173" s="96"/>
      <c r="U173" s="248">
        <f t="shared" si="5"/>
        <v>262</v>
      </c>
      <c r="V173" s="249"/>
      <c r="W173" s="239"/>
      <c r="X173" s="240"/>
      <c r="Y173" s="240"/>
      <c r="Z173" s="240"/>
      <c r="AA173" s="280"/>
    </row>
    <row r="174" spans="2:27" ht="12.75">
      <c r="B174" s="273">
        <v>263</v>
      </c>
      <c r="C174" s="274"/>
      <c r="D174" s="275"/>
      <c r="E174" s="274"/>
      <c r="F174" s="275"/>
      <c r="G174" s="274"/>
      <c r="H174" s="275"/>
      <c r="I174" s="274"/>
      <c r="J174" s="275"/>
      <c r="K174" s="273">
        <f t="shared" si="4"/>
        <v>263</v>
      </c>
      <c r="M174" s="96"/>
      <c r="N174" s="96"/>
      <c r="O174" s="96"/>
      <c r="P174" s="96"/>
      <c r="Q174" s="96"/>
      <c r="R174" s="99"/>
      <c r="S174" s="96"/>
      <c r="U174" s="248">
        <f t="shared" si="5"/>
        <v>263</v>
      </c>
      <c r="V174" s="249"/>
      <c r="W174" s="239"/>
      <c r="X174" s="240"/>
      <c r="Y174" s="240"/>
      <c r="Z174" s="240"/>
      <c r="AA174" s="280"/>
    </row>
    <row r="175" spans="2:27" ht="12.75">
      <c r="B175" s="273">
        <v>264</v>
      </c>
      <c r="C175" s="274"/>
      <c r="D175" s="275"/>
      <c r="E175" s="274"/>
      <c r="F175" s="275"/>
      <c r="G175" s="274"/>
      <c r="H175" s="275"/>
      <c r="I175" s="274"/>
      <c r="J175" s="275"/>
      <c r="K175" s="273">
        <f t="shared" si="4"/>
        <v>264</v>
      </c>
      <c r="M175" s="96"/>
      <c r="N175" s="96"/>
      <c r="O175" s="96"/>
      <c r="P175" s="96"/>
      <c r="Q175" s="96"/>
      <c r="R175" s="99"/>
      <c r="S175" s="96"/>
      <c r="U175" s="248">
        <f t="shared" si="5"/>
        <v>264</v>
      </c>
      <c r="V175" s="249"/>
      <c r="W175" s="239"/>
      <c r="X175" s="240"/>
      <c r="Y175" s="240"/>
      <c r="Z175" s="240"/>
      <c r="AA175" s="280"/>
    </row>
    <row r="176" spans="2:27" ht="12.75">
      <c r="B176" s="273">
        <v>265</v>
      </c>
      <c r="C176" s="274"/>
      <c r="D176" s="275"/>
      <c r="E176" s="274"/>
      <c r="F176" s="275"/>
      <c r="G176" s="274"/>
      <c r="H176" s="275"/>
      <c r="I176" s="274"/>
      <c r="J176" s="275"/>
      <c r="K176" s="273">
        <f t="shared" si="4"/>
        <v>265</v>
      </c>
      <c r="M176" s="96"/>
      <c r="N176" s="96"/>
      <c r="O176" s="96"/>
      <c r="P176" s="96"/>
      <c r="Q176" s="96"/>
      <c r="R176" s="99"/>
      <c r="S176" s="96"/>
      <c r="U176" s="248">
        <f t="shared" si="5"/>
        <v>265</v>
      </c>
      <c r="V176" s="249"/>
      <c r="W176" s="239"/>
      <c r="X176" s="240"/>
      <c r="Y176" s="240"/>
      <c r="Z176" s="240"/>
      <c r="AA176" s="280"/>
    </row>
    <row r="177" spans="2:27" ht="12.75">
      <c r="B177" s="273">
        <v>266</v>
      </c>
      <c r="C177" s="274"/>
      <c r="D177" s="275"/>
      <c r="E177" s="274"/>
      <c r="F177" s="275"/>
      <c r="G177" s="274"/>
      <c r="H177" s="275"/>
      <c r="I177" s="274"/>
      <c r="J177" s="275"/>
      <c r="K177" s="273">
        <f t="shared" si="4"/>
        <v>266</v>
      </c>
      <c r="M177" s="96"/>
      <c r="N177" s="96"/>
      <c r="O177" s="96"/>
      <c r="P177" s="96"/>
      <c r="Q177" s="96"/>
      <c r="R177" s="99"/>
      <c r="S177" s="96"/>
      <c r="U177" s="248">
        <f t="shared" si="5"/>
        <v>266</v>
      </c>
      <c r="V177" s="249"/>
      <c r="W177" s="239"/>
      <c r="X177" s="240"/>
      <c r="Y177" s="240"/>
      <c r="Z177" s="240"/>
      <c r="AA177" s="280"/>
    </row>
    <row r="178" spans="2:27" ht="12.75">
      <c r="B178" s="273">
        <v>267</v>
      </c>
      <c r="C178" s="274"/>
      <c r="D178" s="275"/>
      <c r="E178" s="274"/>
      <c r="F178" s="275"/>
      <c r="G178" s="274"/>
      <c r="H178" s="275"/>
      <c r="I178" s="274"/>
      <c r="J178" s="275"/>
      <c r="K178" s="273">
        <f t="shared" si="4"/>
        <v>267</v>
      </c>
      <c r="M178" s="96"/>
      <c r="N178" s="96"/>
      <c r="O178" s="96"/>
      <c r="P178" s="96"/>
      <c r="Q178" s="96"/>
      <c r="R178" s="99"/>
      <c r="S178" s="96"/>
      <c r="U178" s="248">
        <f t="shared" si="5"/>
        <v>267</v>
      </c>
      <c r="V178" s="249"/>
      <c r="W178" s="239"/>
      <c r="X178" s="240"/>
      <c r="Y178" s="240"/>
      <c r="Z178" s="240"/>
      <c r="AA178" s="280"/>
    </row>
    <row r="179" spans="2:27" ht="12.75">
      <c r="B179" s="273">
        <v>268</v>
      </c>
      <c r="C179" s="274"/>
      <c r="D179" s="275"/>
      <c r="E179" s="274"/>
      <c r="F179" s="275"/>
      <c r="G179" s="274"/>
      <c r="H179" s="275"/>
      <c r="I179" s="274"/>
      <c r="J179" s="275"/>
      <c r="K179" s="273">
        <f t="shared" si="4"/>
        <v>268</v>
      </c>
      <c r="M179" s="96"/>
      <c r="N179" s="96"/>
      <c r="O179" s="96"/>
      <c r="P179" s="96"/>
      <c r="Q179" s="96"/>
      <c r="R179" s="99"/>
      <c r="S179" s="96"/>
      <c r="U179" s="248">
        <f t="shared" si="5"/>
        <v>268</v>
      </c>
      <c r="V179" s="249"/>
      <c r="W179" s="239"/>
      <c r="X179" s="240"/>
      <c r="Y179" s="240"/>
      <c r="Z179" s="240"/>
      <c r="AA179" s="280"/>
    </row>
    <row r="180" spans="2:27" ht="12.75">
      <c r="B180" s="273">
        <v>269</v>
      </c>
      <c r="C180" s="274"/>
      <c r="D180" s="275"/>
      <c r="E180" s="274"/>
      <c r="F180" s="275"/>
      <c r="G180" s="274"/>
      <c r="H180" s="275"/>
      <c r="I180" s="274"/>
      <c r="J180" s="275"/>
      <c r="K180" s="273">
        <f t="shared" si="4"/>
        <v>269</v>
      </c>
      <c r="M180" s="96"/>
      <c r="N180" s="96"/>
      <c r="O180" s="96"/>
      <c r="P180" s="96"/>
      <c r="Q180" s="96"/>
      <c r="R180" s="99"/>
      <c r="S180" s="96"/>
      <c r="U180" s="248">
        <f t="shared" si="5"/>
        <v>269</v>
      </c>
      <c r="V180" s="249"/>
      <c r="W180" s="239"/>
      <c r="X180" s="240"/>
      <c r="Y180" s="240"/>
      <c r="Z180" s="240"/>
      <c r="AA180" s="280"/>
    </row>
    <row r="181" spans="2:27" ht="12.75">
      <c r="B181" s="273">
        <v>270</v>
      </c>
      <c r="C181" s="274"/>
      <c r="D181" s="275"/>
      <c r="E181" s="274"/>
      <c r="F181" s="275"/>
      <c r="G181" s="274"/>
      <c r="H181" s="275"/>
      <c r="I181" s="274"/>
      <c r="J181" s="275"/>
      <c r="K181" s="273">
        <f t="shared" si="4"/>
        <v>270</v>
      </c>
      <c r="M181" s="96"/>
      <c r="N181" s="96"/>
      <c r="O181" s="96"/>
      <c r="P181" s="96"/>
      <c r="Q181" s="96"/>
      <c r="R181" s="99"/>
      <c r="S181" s="96"/>
      <c r="U181" s="248">
        <f t="shared" si="5"/>
        <v>270</v>
      </c>
      <c r="V181" s="249"/>
      <c r="W181" s="239"/>
      <c r="X181" s="240"/>
      <c r="Y181" s="240"/>
      <c r="Z181" s="240"/>
      <c r="AA181" s="280"/>
    </row>
    <row r="182" spans="2:27" ht="12.75">
      <c r="B182" s="273">
        <v>271</v>
      </c>
      <c r="C182" s="274"/>
      <c r="D182" s="275"/>
      <c r="E182" s="274"/>
      <c r="F182" s="275"/>
      <c r="G182" s="274"/>
      <c r="H182" s="275"/>
      <c r="I182" s="274"/>
      <c r="J182" s="275"/>
      <c r="K182" s="273">
        <f t="shared" si="4"/>
        <v>271</v>
      </c>
      <c r="M182" s="96"/>
      <c r="N182" s="96"/>
      <c r="O182" s="96"/>
      <c r="P182" s="96"/>
      <c r="Q182" s="96"/>
      <c r="R182" s="99"/>
      <c r="S182" s="96"/>
      <c r="U182" s="248">
        <f t="shared" si="5"/>
        <v>271</v>
      </c>
      <c r="V182" s="249"/>
      <c r="W182" s="239"/>
      <c r="X182" s="240"/>
      <c r="Y182" s="240"/>
      <c r="Z182" s="240"/>
      <c r="AA182" s="280"/>
    </row>
    <row r="183" spans="2:27" ht="12.75">
      <c r="B183" s="273">
        <v>272</v>
      </c>
      <c r="C183" s="274"/>
      <c r="D183" s="275"/>
      <c r="E183" s="274"/>
      <c r="F183" s="275"/>
      <c r="G183" s="274"/>
      <c r="H183" s="275"/>
      <c r="I183" s="274"/>
      <c r="J183" s="275"/>
      <c r="K183" s="273">
        <f t="shared" si="4"/>
        <v>272</v>
      </c>
      <c r="M183" s="96"/>
      <c r="N183" s="96"/>
      <c r="O183" s="96"/>
      <c r="P183" s="96"/>
      <c r="Q183" s="96"/>
      <c r="R183" s="99"/>
      <c r="S183" s="96"/>
      <c r="U183" s="248">
        <f t="shared" si="5"/>
        <v>272</v>
      </c>
      <c r="V183" s="249"/>
      <c r="W183" s="239"/>
      <c r="X183" s="240"/>
      <c r="Y183" s="240"/>
      <c r="Z183" s="240"/>
      <c r="AA183" s="280"/>
    </row>
    <row r="184" spans="2:27" ht="12.75">
      <c r="B184" s="273">
        <v>273</v>
      </c>
      <c r="C184" s="274"/>
      <c r="D184" s="275"/>
      <c r="E184" s="274"/>
      <c r="F184" s="275"/>
      <c r="G184" s="274"/>
      <c r="H184" s="275"/>
      <c r="I184" s="274"/>
      <c r="J184" s="275"/>
      <c r="K184" s="273">
        <f t="shared" si="4"/>
        <v>273</v>
      </c>
      <c r="M184" s="96"/>
      <c r="N184" s="96"/>
      <c r="O184" s="96"/>
      <c r="P184" s="96"/>
      <c r="Q184" s="96"/>
      <c r="R184" s="99"/>
      <c r="S184" s="96"/>
      <c r="U184" s="248">
        <f t="shared" si="5"/>
        <v>273</v>
      </c>
      <c r="V184" s="249"/>
      <c r="W184" s="239"/>
      <c r="X184" s="240"/>
      <c r="Y184" s="240"/>
      <c r="Z184" s="240"/>
      <c r="AA184" s="280"/>
    </row>
    <row r="185" spans="2:27" ht="12.75">
      <c r="B185" s="273">
        <v>274</v>
      </c>
      <c r="C185" s="274"/>
      <c r="D185" s="275"/>
      <c r="E185" s="274"/>
      <c r="F185" s="275"/>
      <c r="G185" s="274"/>
      <c r="H185" s="275"/>
      <c r="I185" s="274"/>
      <c r="J185" s="275"/>
      <c r="K185" s="273">
        <f t="shared" si="4"/>
        <v>274</v>
      </c>
      <c r="M185" s="96"/>
      <c r="N185" s="96"/>
      <c r="O185" s="96"/>
      <c r="P185" s="96"/>
      <c r="Q185" s="96"/>
      <c r="R185" s="99"/>
      <c r="S185" s="96"/>
      <c r="U185" s="248">
        <f t="shared" si="5"/>
        <v>274</v>
      </c>
      <c r="V185" s="249"/>
      <c r="W185" s="239"/>
      <c r="X185" s="240"/>
      <c r="Y185" s="240"/>
      <c r="Z185" s="240"/>
      <c r="AA185" s="280"/>
    </row>
    <row r="186" spans="2:27" ht="12.75">
      <c r="B186" s="273">
        <v>275</v>
      </c>
      <c r="C186" s="274"/>
      <c r="D186" s="275"/>
      <c r="E186" s="274"/>
      <c r="F186" s="275"/>
      <c r="G186" s="274"/>
      <c r="H186" s="275"/>
      <c r="I186" s="274"/>
      <c r="J186" s="275"/>
      <c r="K186" s="273">
        <f t="shared" si="4"/>
        <v>275</v>
      </c>
      <c r="M186" s="96"/>
      <c r="N186" s="96"/>
      <c r="O186" s="96"/>
      <c r="P186" s="96"/>
      <c r="Q186" s="96"/>
      <c r="R186" s="99"/>
      <c r="S186" s="96"/>
      <c r="U186" s="248">
        <f t="shared" si="5"/>
        <v>275</v>
      </c>
      <c r="V186" s="249"/>
      <c r="W186" s="239"/>
      <c r="X186" s="240"/>
      <c r="Y186" s="240"/>
      <c r="Z186" s="240"/>
      <c r="AA186" s="280"/>
    </row>
    <row r="187" spans="2:27" ht="12.75">
      <c r="B187" s="273">
        <v>276</v>
      </c>
      <c r="C187" s="274"/>
      <c r="D187" s="275"/>
      <c r="E187" s="274"/>
      <c r="F187" s="275"/>
      <c r="G187" s="274"/>
      <c r="H187" s="275"/>
      <c r="I187" s="274"/>
      <c r="J187" s="275"/>
      <c r="K187" s="273">
        <f t="shared" si="4"/>
        <v>276</v>
      </c>
      <c r="M187" s="96"/>
      <c r="N187" s="96"/>
      <c r="O187" s="96"/>
      <c r="P187" s="96"/>
      <c r="Q187" s="96"/>
      <c r="R187" s="99"/>
      <c r="S187" s="96"/>
      <c r="U187" s="248">
        <f t="shared" si="5"/>
        <v>276</v>
      </c>
      <c r="V187" s="249"/>
      <c r="W187" s="239"/>
      <c r="X187" s="240"/>
      <c r="Y187" s="240"/>
      <c r="Z187" s="240"/>
      <c r="AA187" s="280"/>
    </row>
    <row r="188" spans="2:27" ht="12.75">
      <c r="B188" s="273">
        <v>277</v>
      </c>
      <c r="C188" s="274"/>
      <c r="D188" s="275"/>
      <c r="E188" s="274"/>
      <c r="F188" s="275"/>
      <c r="G188" s="274"/>
      <c r="H188" s="275"/>
      <c r="I188" s="274"/>
      <c r="J188" s="275"/>
      <c r="K188" s="273">
        <f t="shared" si="4"/>
        <v>277</v>
      </c>
      <c r="M188" s="96"/>
      <c r="N188" s="96"/>
      <c r="O188" s="96"/>
      <c r="P188" s="96"/>
      <c r="Q188" s="96"/>
      <c r="R188" s="99"/>
      <c r="S188" s="96"/>
      <c r="U188" s="248">
        <f t="shared" si="5"/>
        <v>277</v>
      </c>
      <c r="V188" s="249"/>
      <c r="W188" s="239"/>
      <c r="X188" s="240"/>
      <c r="Y188" s="240"/>
      <c r="Z188" s="240"/>
      <c r="AA188" s="280"/>
    </row>
    <row r="189" spans="2:27" ht="12.75">
      <c r="B189" s="273">
        <v>278</v>
      </c>
      <c r="C189" s="274"/>
      <c r="D189" s="275"/>
      <c r="E189" s="274"/>
      <c r="F189" s="275"/>
      <c r="G189" s="274"/>
      <c r="H189" s="275"/>
      <c r="I189" s="274"/>
      <c r="J189" s="275"/>
      <c r="K189" s="273">
        <f t="shared" si="4"/>
        <v>278</v>
      </c>
      <c r="M189" s="96"/>
      <c r="N189" s="96"/>
      <c r="O189" s="96"/>
      <c r="P189" s="96"/>
      <c r="Q189" s="96"/>
      <c r="R189" s="99"/>
      <c r="S189" s="96"/>
      <c r="U189" s="248">
        <f t="shared" si="5"/>
        <v>278</v>
      </c>
      <c r="V189" s="249"/>
      <c r="W189" s="239"/>
      <c r="X189" s="240"/>
      <c r="Y189" s="240"/>
      <c r="Z189" s="240"/>
      <c r="AA189" s="280"/>
    </row>
    <row r="190" spans="2:27" ht="12.75">
      <c r="B190" s="273">
        <v>279</v>
      </c>
      <c r="C190" s="274"/>
      <c r="D190" s="275"/>
      <c r="E190" s="274"/>
      <c r="F190" s="275"/>
      <c r="G190" s="274"/>
      <c r="H190" s="275"/>
      <c r="I190" s="274"/>
      <c r="J190" s="275"/>
      <c r="K190" s="273">
        <f t="shared" si="4"/>
        <v>279</v>
      </c>
      <c r="M190" s="96"/>
      <c r="N190" s="96"/>
      <c r="O190" s="96"/>
      <c r="P190" s="96"/>
      <c r="Q190" s="96"/>
      <c r="R190" s="99"/>
      <c r="S190" s="96"/>
      <c r="U190" s="248">
        <f t="shared" si="5"/>
        <v>279</v>
      </c>
      <c r="V190" s="249"/>
      <c r="W190" s="239"/>
      <c r="X190" s="240"/>
      <c r="Y190" s="240"/>
      <c r="Z190" s="240"/>
      <c r="AA190" s="280"/>
    </row>
    <row r="191" spans="2:27" ht="12.75">
      <c r="B191" s="273">
        <v>280</v>
      </c>
      <c r="C191" s="274"/>
      <c r="D191" s="275"/>
      <c r="E191" s="274"/>
      <c r="F191" s="275"/>
      <c r="G191" s="274"/>
      <c r="H191" s="275"/>
      <c r="I191" s="274"/>
      <c r="J191" s="275"/>
      <c r="K191" s="273">
        <f t="shared" si="4"/>
        <v>280</v>
      </c>
      <c r="M191" s="96"/>
      <c r="N191" s="96"/>
      <c r="O191" s="96"/>
      <c r="P191" s="96"/>
      <c r="Q191" s="96"/>
      <c r="R191" s="99"/>
      <c r="S191" s="96"/>
      <c r="U191" s="248">
        <f t="shared" si="5"/>
        <v>280</v>
      </c>
      <c r="V191" s="249"/>
      <c r="W191" s="239"/>
      <c r="X191" s="240"/>
      <c r="Y191" s="240"/>
      <c r="Z191" s="240"/>
      <c r="AA191" s="280"/>
    </row>
    <row r="192" spans="2:27" ht="12.75">
      <c r="B192" s="273">
        <v>281</v>
      </c>
      <c r="C192" s="274"/>
      <c r="D192" s="275"/>
      <c r="E192" s="274"/>
      <c r="F192" s="275"/>
      <c r="G192" s="274"/>
      <c r="H192" s="275"/>
      <c r="I192" s="274"/>
      <c r="J192" s="275"/>
      <c r="K192" s="273">
        <f t="shared" si="4"/>
        <v>281</v>
      </c>
      <c r="M192" s="96"/>
      <c r="N192" s="96"/>
      <c r="O192" s="96"/>
      <c r="P192" s="96"/>
      <c r="Q192" s="96"/>
      <c r="R192" s="99"/>
      <c r="S192" s="96"/>
      <c r="U192" s="248">
        <f t="shared" si="5"/>
        <v>281</v>
      </c>
      <c r="V192" s="249"/>
      <c r="W192" s="239"/>
      <c r="X192" s="240"/>
      <c r="Y192" s="240"/>
      <c r="Z192" s="240"/>
      <c r="AA192" s="280"/>
    </row>
    <row r="193" spans="2:27" ht="12.75">
      <c r="B193" s="273">
        <v>282</v>
      </c>
      <c r="C193" s="274"/>
      <c r="D193" s="275"/>
      <c r="E193" s="274"/>
      <c r="F193" s="275"/>
      <c r="G193" s="274"/>
      <c r="H193" s="275"/>
      <c r="I193" s="274"/>
      <c r="J193" s="275"/>
      <c r="K193" s="273">
        <f t="shared" si="4"/>
        <v>282</v>
      </c>
      <c r="M193" s="96"/>
      <c r="N193" s="96"/>
      <c r="O193" s="96"/>
      <c r="P193" s="96"/>
      <c r="Q193" s="96"/>
      <c r="R193" s="99"/>
      <c r="S193" s="96"/>
      <c r="U193" s="248">
        <f t="shared" si="5"/>
        <v>282</v>
      </c>
      <c r="V193" s="249"/>
      <c r="W193" s="239"/>
      <c r="X193" s="240"/>
      <c r="Y193" s="240"/>
      <c r="Z193" s="240"/>
      <c r="AA193" s="280"/>
    </row>
    <row r="194" spans="2:27" ht="12.75">
      <c r="B194" s="273">
        <v>283</v>
      </c>
      <c r="C194" s="274"/>
      <c r="D194" s="275"/>
      <c r="E194" s="274"/>
      <c r="F194" s="275"/>
      <c r="G194" s="274"/>
      <c r="H194" s="275"/>
      <c r="I194" s="274"/>
      <c r="J194" s="275"/>
      <c r="K194" s="273">
        <f t="shared" si="4"/>
        <v>283</v>
      </c>
      <c r="M194" s="96"/>
      <c r="N194" s="96"/>
      <c r="O194" s="96"/>
      <c r="P194" s="96"/>
      <c r="Q194" s="96"/>
      <c r="R194" s="99"/>
      <c r="S194" s="96"/>
      <c r="U194" s="248">
        <f t="shared" si="5"/>
        <v>283</v>
      </c>
      <c r="V194" s="249"/>
      <c r="W194" s="239"/>
      <c r="X194" s="240"/>
      <c r="Y194" s="240"/>
      <c r="Z194" s="240"/>
      <c r="AA194" s="280"/>
    </row>
    <row r="195" spans="2:27" ht="12.75">
      <c r="B195" s="273">
        <v>284</v>
      </c>
      <c r="C195" s="274"/>
      <c r="D195" s="275"/>
      <c r="E195" s="274"/>
      <c r="F195" s="275"/>
      <c r="G195" s="274"/>
      <c r="H195" s="275"/>
      <c r="I195" s="274"/>
      <c r="J195" s="275"/>
      <c r="K195" s="273">
        <f t="shared" si="4"/>
        <v>284</v>
      </c>
      <c r="M195" s="96"/>
      <c r="N195" s="96"/>
      <c r="O195" s="96"/>
      <c r="P195" s="96"/>
      <c r="Q195" s="96"/>
      <c r="R195" s="99"/>
      <c r="S195" s="96"/>
      <c r="U195" s="248">
        <f t="shared" si="5"/>
        <v>284</v>
      </c>
      <c r="V195" s="249"/>
      <c r="W195" s="239"/>
      <c r="X195" s="240"/>
      <c r="Y195" s="240"/>
      <c r="Z195" s="240"/>
      <c r="AA195" s="280"/>
    </row>
    <row r="196" spans="2:27" ht="12.75">
      <c r="B196" s="273">
        <v>285</v>
      </c>
      <c r="C196" s="274"/>
      <c r="D196" s="275"/>
      <c r="E196" s="274"/>
      <c r="F196" s="275"/>
      <c r="G196" s="274"/>
      <c r="H196" s="275"/>
      <c r="I196" s="274"/>
      <c r="J196" s="275"/>
      <c r="K196" s="273">
        <f t="shared" si="4"/>
        <v>285</v>
      </c>
      <c r="M196" s="96"/>
      <c r="N196" s="96"/>
      <c r="O196" s="96"/>
      <c r="P196" s="96"/>
      <c r="Q196" s="96"/>
      <c r="R196" s="99"/>
      <c r="S196" s="96"/>
      <c r="U196" s="248">
        <f t="shared" si="5"/>
        <v>285</v>
      </c>
      <c r="V196" s="249"/>
      <c r="W196" s="239"/>
      <c r="X196" s="240"/>
      <c r="Y196" s="240"/>
      <c r="Z196" s="240"/>
      <c r="AA196" s="280"/>
    </row>
    <row r="197" spans="2:27" ht="12.75">
      <c r="B197" s="273">
        <v>286</v>
      </c>
      <c r="C197" s="274"/>
      <c r="D197" s="275"/>
      <c r="E197" s="274"/>
      <c r="F197" s="275"/>
      <c r="G197" s="274"/>
      <c r="H197" s="275"/>
      <c r="I197" s="274"/>
      <c r="J197" s="275"/>
      <c r="K197" s="273">
        <f t="shared" si="4"/>
        <v>286</v>
      </c>
      <c r="M197" s="96"/>
      <c r="N197" s="96"/>
      <c r="O197" s="96"/>
      <c r="P197" s="96"/>
      <c r="Q197" s="96"/>
      <c r="R197" s="99"/>
      <c r="S197" s="96"/>
      <c r="U197" s="248">
        <f t="shared" si="5"/>
        <v>286</v>
      </c>
      <c r="V197" s="249"/>
      <c r="W197" s="239"/>
      <c r="X197" s="240"/>
      <c r="Y197" s="240"/>
      <c r="Z197" s="240"/>
      <c r="AA197" s="280"/>
    </row>
    <row r="198" spans="2:27" ht="12.75">
      <c r="B198" s="273">
        <v>287</v>
      </c>
      <c r="C198" s="274"/>
      <c r="D198" s="275"/>
      <c r="E198" s="274"/>
      <c r="F198" s="275"/>
      <c r="G198" s="274"/>
      <c r="H198" s="275"/>
      <c r="I198" s="274"/>
      <c r="J198" s="275"/>
      <c r="K198" s="273">
        <f t="shared" si="4"/>
        <v>287</v>
      </c>
      <c r="M198" s="96"/>
      <c r="N198" s="96"/>
      <c r="O198" s="96"/>
      <c r="P198" s="96"/>
      <c r="Q198" s="96"/>
      <c r="R198" s="99"/>
      <c r="S198" s="96"/>
      <c r="U198" s="248">
        <f t="shared" si="5"/>
        <v>287</v>
      </c>
      <c r="V198" s="249"/>
      <c r="W198" s="239"/>
      <c r="X198" s="240"/>
      <c r="Y198" s="240"/>
      <c r="Z198" s="240"/>
      <c r="AA198" s="280"/>
    </row>
    <row r="199" spans="2:27" ht="12.75">
      <c r="B199" s="273">
        <v>288</v>
      </c>
      <c r="C199" s="274"/>
      <c r="D199" s="275"/>
      <c r="E199" s="274"/>
      <c r="F199" s="275"/>
      <c r="G199" s="274"/>
      <c r="H199" s="275"/>
      <c r="I199" s="274"/>
      <c r="J199" s="275"/>
      <c r="K199" s="273">
        <f t="shared" si="4"/>
        <v>288</v>
      </c>
      <c r="M199" s="96"/>
      <c r="N199" s="96"/>
      <c r="O199" s="96"/>
      <c r="P199" s="96"/>
      <c r="Q199" s="96"/>
      <c r="R199" s="99"/>
      <c r="S199" s="96"/>
      <c r="U199" s="248">
        <f t="shared" si="5"/>
        <v>288</v>
      </c>
      <c r="V199" s="249"/>
      <c r="W199" s="239"/>
      <c r="X199" s="240"/>
      <c r="Y199" s="240"/>
      <c r="Z199" s="240"/>
      <c r="AA199" s="280"/>
    </row>
    <row r="200" spans="2:27" ht="12.75">
      <c r="B200" s="273">
        <v>289</v>
      </c>
      <c r="C200" s="274"/>
      <c r="D200" s="275"/>
      <c r="E200" s="274"/>
      <c r="F200" s="275"/>
      <c r="G200" s="274"/>
      <c r="H200" s="275"/>
      <c r="I200" s="274"/>
      <c r="J200" s="275"/>
      <c r="K200" s="273">
        <f t="shared" si="4"/>
        <v>289</v>
      </c>
      <c r="M200" s="96"/>
      <c r="N200" s="96"/>
      <c r="O200" s="96"/>
      <c r="P200" s="96"/>
      <c r="Q200" s="96"/>
      <c r="R200" s="99"/>
      <c r="S200" s="96"/>
      <c r="U200" s="248">
        <f t="shared" si="5"/>
        <v>289</v>
      </c>
      <c r="V200" s="249"/>
      <c r="W200" s="239"/>
      <c r="X200" s="240"/>
      <c r="Y200" s="240"/>
      <c r="Z200" s="240"/>
      <c r="AA200" s="280"/>
    </row>
    <row r="201" spans="2:27" ht="12.75">
      <c r="B201" s="273">
        <v>290</v>
      </c>
      <c r="C201" s="274"/>
      <c r="D201" s="275"/>
      <c r="E201" s="274"/>
      <c r="F201" s="275"/>
      <c r="G201" s="274"/>
      <c r="H201" s="275"/>
      <c r="I201" s="274"/>
      <c r="J201" s="275"/>
      <c r="K201" s="273">
        <f t="shared" si="4"/>
        <v>290</v>
      </c>
      <c r="M201" s="96"/>
      <c r="N201" s="96"/>
      <c r="O201" s="96"/>
      <c r="P201" s="96"/>
      <c r="Q201" s="96"/>
      <c r="R201" s="99"/>
      <c r="S201" s="96"/>
      <c r="U201" s="248">
        <f t="shared" si="5"/>
        <v>290</v>
      </c>
      <c r="V201" s="249"/>
      <c r="W201" s="239"/>
      <c r="X201" s="240"/>
      <c r="Y201" s="240"/>
      <c r="Z201" s="240"/>
      <c r="AA201" s="280"/>
    </row>
    <row r="202" spans="2:27" ht="12.75">
      <c r="B202" s="273">
        <v>291</v>
      </c>
      <c r="C202" s="274"/>
      <c r="D202" s="275"/>
      <c r="E202" s="274"/>
      <c r="F202" s="275"/>
      <c r="G202" s="274"/>
      <c r="H202" s="275"/>
      <c r="I202" s="274"/>
      <c r="J202" s="275"/>
      <c r="K202" s="273">
        <f t="shared" si="4"/>
        <v>291</v>
      </c>
      <c r="M202" s="96"/>
      <c r="N202" s="96"/>
      <c r="O202" s="96"/>
      <c r="P202" s="96"/>
      <c r="Q202" s="96"/>
      <c r="R202" s="99"/>
      <c r="S202" s="96"/>
      <c r="U202" s="248">
        <f t="shared" si="5"/>
        <v>291</v>
      </c>
      <c r="V202" s="249"/>
      <c r="W202" s="239"/>
      <c r="X202" s="240"/>
      <c r="Y202" s="240"/>
      <c r="Z202" s="240"/>
      <c r="AA202" s="280"/>
    </row>
    <row r="203" spans="2:27" ht="12.75">
      <c r="B203" s="273">
        <v>292</v>
      </c>
      <c r="C203" s="274"/>
      <c r="D203" s="275"/>
      <c r="E203" s="274"/>
      <c r="F203" s="275"/>
      <c r="G203" s="274"/>
      <c r="H203" s="275"/>
      <c r="I203" s="274"/>
      <c r="J203" s="275"/>
      <c r="K203" s="273">
        <f t="shared" si="4"/>
        <v>292</v>
      </c>
      <c r="M203" s="97"/>
      <c r="N203" s="97"/>
      <c r="O203" s="97"/>
      <c r="P203" s="97"/>
      <c r="Q203" s="97"/>
      <c r="R203" s="100"/>
      <c r="S203" s="97"/>
      <c r="U203" s="250">
        <f t="shared" si="5"/>
        <v>292</v>
      </c>
      <c r="V203" s="251"/>
      <c r="W203" s="242"/>
      <c r="X203" s="243"/>
      <c r="Y203" s="243"/>
      <c r="Z203" s="243"/>
      <c r="AA203" s="281"/>
    </row>
  </sheetData>
  <sheetProtection password="EFE1" sheet="1"/>
  <mergeCells count="11">
    <mergeCell ref="I10:J10"/>
    <mergeCell ref="B9:K9"/>
    <mergeCell ref="C10:D10"/>
    <mergeCell ref="E10:F10"/>
    <mergeCell ref="G10:H10"/>
    <mergeCell ref="Q9:S9"/>
    <mergeCell ref="M9:N9"/>
    <mergeCell ref="B1:K1"/>
    <mergeCell ref="B3:K3"/>
    <mergeCell ref="B4:K4"/>
    <mergeCell ref="O9:P9"/>
  </mergeCells>
  <conditionalFormatting sqref="B11 U11:Z11 K11">
    <cfRule type="expression" priority="6" dxfId="2" stopIfTrue="1">
      <formula>(#REF!=$U11)</formula>
    </cfRule>
  </conditionalFormatting>
  <conditionalFormatting sqref="B12:K12">
    <cfRule type="expression" priority="3" dxfId="2" stopIfTrue="1">
      <formula>OR($B$7=$B12,$C$7=$B12,$D$7=$B12,$E$7=$B12,$F$7=$B12,$G$7=$B12,$H$7=$B12,$I$7=$B12,$J$7=$B12,$K$7=$B12)</formula>
    </cfRule>
  </conditionalFormatting>
  <conditionalFormatting sqref="B13:K31">
    <cfRule type="expression" priority="1" dxfId="2" stopIfTrue="1">
      <formula>OR($B$7=$B13,$C$7=$B13,$D$7=$B13,$E$7=$B13,$F$7=$B13,$G$7=$B13,$H$7=$B13,$I$7=$B13,$J$7=$B13,$K$7=$B13)</formula>
    </cfRule>
  </conditionalFormatting>
  <dataValidations count="1">
    <dataValidation type="list" allowBlank="1" showInputMessage="1" showErrorMessage="1" sqref="B7:K7">
      <formula1>$U$11:$U$30</formula1>
    </dataValidation>
  </dataValidation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52"/>
  </sheetPr>
  <dimension ref="A1:BJ81"/>
  <sheetViews>
    <sheetView showGridLines="0" zoomScalePageLayoutView="0" workbookViewId="0" topLeftCell="A1">
      <selection activeCell="D3" sqref="D3:E3"/>
    </sheetView>
  </sheetViews>
  <sheetFormatPr defaultColWidth="9.140625" defaultRowHeight="12.75"/>
  <cols>
    <col min="1" max="1" width="3.7109375" style="2" customWidth="1"/>
    <col min="2" max="2" width="59.7109375" style="2" customWidth="1"/>
    <col min="3" max="3" width="20.28125" style="2" customWidth="1"/>
    <col min="4" max="13" width="12.28125" style="2" customWidth="1"/>
    <col min="14" max="14" width="13.28125" style="154" hidden="1" customWidth="1"/>
    <col min="15" max="15" width="26.421875" style="154" hidden="1" customWidth="1"/>
    <col min="16" max="24" width="15.28125" style="154" hidden="1" customWidth="1"/>
    <col min="25" max="25" width="15.28125" style="2" hidden="1" customWidth="1"/>
    <col min="26" max="30" width="16.7109375" style="2" hidden="1" customWidth="1"/>
    <col min="31" max="32" width="16.7109375" style="2" customWidth="1"/>
    <col min="33" max="33" width="12.7109375" style="2" customWidth="1"/>
    <col min="34" max="34" width="12.00390625" style="2" customWidth="1"/>
    <col min="35" max="35" width="12.7109375" style="2" customWidth="1"/>
    <col min="36" max="36" width="11.8515625" style="2" customWidth="1"/>
    <col min="37" max="39" width="10.57421875" style="2" customWidth="1"/>
    <col min="40" max="41" width="12.7109375" style="2" customWidth="1"/>
    <col min="42" max="42" width="12.7109375" style="18" customWidth="1"/>
    <col min="43" max="44" width="12.7109375" style="2" customWidth="1"/>
    <col min="45" max="46" width="12.7109375" style="20" customWidth="1"/>
    <col min="47" max="47" width="12.7109375" style="25" customWidth="1"/>
    <col min="48" max="60" width="9.140625" style="129" customWidth="1"/>
    <col min="61" max="61" width="9.140625" style="2" customWidth="1"/>
    <col min="62" max="62" width="16.7109375" style="20" customWidth="1"/>
    <col min="63" max="16384" width="9.140625" style="2" customWidth="1"/>
  </cols>
  <sheetData>
    <row r="1" spans="2:24" ht="27.75" customHeight="1">
      <c r="B1" s="345" t="s">
        <v>167</v>
      </c>
      <c r="C1" s="346"/>
      <c r="D1" s="346"/>
      <c r="E1" s="346"/>
      <c r="F1" s="167"/>
      <c r="G1" s="167"/>
      <c r="H1" s="167"/>
      <c r="I1" s="167"/>
      <c r="J1" s="167"/>
      <c r="K1" s="167"/>
      <c r="L1" s="167"/>
      <c r="M1" s="167"/>
      <c r="N1" s="145"/>
      <c r="O1" s="145"/>
      <c r="P1" s="145"/>
      <c r="Q1" s="145"/>
      <c r="R1" s="145"/>
      <c r="S1" s="145"/>
      <c r="T1" s="145"/>
      <c r="U1" s="145"/>
      <c r="V1" s="145"/>
      <c r="W1" s="145"/>
      <c r="X1" s="145"/>
    </row>
    <row r="2" spans="2:24" ht="16.5" customHeight="1">
      <c r="B2" s="46"/>
      <c r="C2" s="46"/>
      <c r="D2" s="46"/>
      <c r="E2" s="46"/>
      <c r="F2" s="46"/>
      <c r="G2" s="46"/>
      <c r="H2" s="46"/>
      <c r="I2" s="46"/>
      <c r="J2" s="46"/>
      <c r="K2" s="46"/>
      <c r="L2" s="46"/>
      <c r="M2" s="46"/>
      <c r="N2" s="163"/>
      <c r="O2" s="94" t="s">
        <v>279</v>
      </c>
      <c r="P2" s="163"/>
      <c r="Q2" s="163"/>
      <c r="R2" s="163"/>
      <c r="S2" s="163"/>
      <c r="T2" s="163"/>
      <c r="U2" s="163"/>
      <c r="V2" s="163"/>
      <c r="W2" s="163"/>
      <c r="X2" s="163"/>
    </row>
    <row r="3" spans="2:24" ht="16.5" customHeight="1">
      <c r="B3" s="87" t="s">
        <v>45</v>
      </c>
      <c r="C3" s="88"/>
      <c r="D3" s="333"/>
      <c r="E3" s="334"/>
      <c r="F3" s="136"/>
      <c r="G3" s="136"/>
      <c r="H3" s="136"/>
      <c r="I3" s="136"/>
      <c r="J3" s="136"/>
      <c r="K3" s="136"/>
      <c r="L3" s="136"/>
      <c r="M3" s="136"/>
      <c r="N3" s="136"/>
      <c r="O3" s="136"/>
      <c r="P3" s="136"/>
      <c r="Q3" s="136"/>
      <c r="R3" s="136"/>
      <c r="S3" s="136"/>
      <c r="T3" s="136"/>
      <c r="U3" s="136"/>
      <c r="V3" s="136"/>
      <c r="W3" s="136"/>
      <c r="X3" s="136"/>
    </row>
    <row r="4" spans="2:24" ht="16.5" customHeight="1">
      <c r="B4" s="69"/>
      <c r="C4" s="69"/>
      <c r="D4" s="70"/>
      <c r="E4" s="70"/>
      <c r="F4" s="70"/>
      <c r="G4" s="70"/>
      <c r="H4" s="70"/>
      <c r="I4" s="70"/>
      <c r="J4" s="70"/>
      <c r="K4" s="70"/>
      <c r="L4" s="70"/>
      <c r="M4" s="70"/>
      <c r="N4" s="136"/>
      <c r="O4" s="136"/>
      <c r="P4" s="136"/>
      <c r="Q4" s="136"/>
      <c r="R4" s="136"/>
      <c r="S4" s="136"/>
      <c r="T4" s="136"/>
      <c r="U4" s="136"/>
      <c r="V4" s="136"/>
      <c r="W4" s="136"/>
      <c r="X4" s="136"/>
    </row>
    <row r="5" spans="2:27" ht="172.5" customHeight="1">
      <c r="B5" s="337" t="s">
        <v>166</v>
      </c>
      <c r="C5" s="324"/>
      <c r="D5" s="324"/>
      <c r="E5" s="324"/>
      <c r="F5" s="324"/>
      <c r="G5" s="324"/>
      <c r="H5" s="340"/>
      <c r="I5" s="324"/>
      <c r="J5" s="324"/>
      <c r="K5" s="324"/>
      <c r="L5" s="324"/>
      <c r="M5" s="339"/>
      <c r="N5" s="155"/>
      <c r="O5" s="155"/>
      <c r="P5" s="155"/>
      <c r="Q5" s="155"/>
      <c r="R5" s="155"/>
      <c r="S5" s="155"/>
      <c r="T5" s="155"/>
      <c r="U5" s="155"/>
      <c r="V5" s="155"/>
      <c r="W5" s="155"/>
      <c r="X5" s="155"/>
      <c r="AA5" s="2" t="s">
        <v>118</v>
      </c>
    </row>
    <row r="6" spans="2:28" ht="24.75" customHeight="1">
      <c r="B6" s="341" t="s">
        <v>110</v>
      </c>
      <c r="C6" s="342"/>
      <c r="D6" s="162" t="s">
        <v>100</v>
      </c>
      <c r="E6" s="162" t="s">
        <v>101</v>
      </c>
      <c r="F6" s="162" t="s">
        <v>102</v>
      </c>
      <c r="G6" s="162" t="s">
        <v>103</v>
      </c>
      <c r="H6" s="162" t="s">
        <v>104</v>
      </c>
      <c r="I6" s="162" t="s">
        <v>105</v>
      </c>
      <c r="J6" s="162" t="s">
        <v>106</v>
      </c>
      <c r="K6" s="162" t="s">
        <v>107</v>
      </c>
      <c r="L6" s="162" t="s">
        <v>108</v>
      </c>
      <c r="M6" s="162" t="s">
        <v>109</v>
      </c>
      <c r="P6" s="162" t="s">
        <v>100</v>
      </c>
      <c r="Q6" s="162" t="s">
        <v>101</v>
      </c>
      <c r="R6" s="162" t="s">
        <v>102</v>
      </c>
      <c r="S6" s="162" t="s">
        <v>103</v>
      </c>
      <c r="T6" s="162" t="s">
        <v>104</v>
      </c>
      <c r="U6" s="162" t="s">
        <v>105</v>
      </c>
      <c r="V6" s="162" t="s">
        <v>106</v>
      </c>
      <c r="W6" s="162" t="s">
        <v>107</v>
      </c>
      <c r="X6" s="162" t="s">
        <v>108</v>
      </c>
      <c r="Y6" s="162" t="s">
        <v>109</v>
      </c>
      <c r="AA6" s="3" t="s">
        <v>20</v>
      </c>
      <c r="AB6" s="19" t="s">
        <v>90</v>
      </c>
    </row>
    <row r="7" spans="2:28" ht="24.75" customHeight="1">
      <c r="B7" s="341" t="s">
        <v>222</v>
      </c>
      <c r="C7" s="342"/>
      <c r="D7" s="264" t="s">
        <v>223</v>
      </c>
      <c r="E7" s="264"/>
      <c r="F7" s="264"/>
      <c r="G7" s="264"/>
      <c r="H7" s="264"/>
      <c r="I7" s="264"/>
      <c r="J7" s="264"/>
      <c r="K7" s="264"/>
      <c r="L7" s="264"/>
      <c r="M7" s="264"/>
      <c r="P7" s="263"/>
      <c r="Q7" s="263"/>
      <c r="R7" s="263"/>
      <c r="S7" s="263"/>
      <c r="T7" s="263"/>
      <c r="U7" s="263"/>
      <c r="V7" s="263"/>
      <c r="W7" s="263"/>
      <c r="X7" s="263"/>
      <c r="Y7" s="263"/>
      <c r="AA7" s="3"/>
      <c r="AB7" s="19"/>
    </row>
    <row r="8" spans="2:28" ht="24" customHeight="1">
      <c r="B8" s="127"/>
      <c r="C8" s="128"/>
      <c r="D8" s="85" t="s">
        <v>87</v>
      </c>
      <c r="E8" s="123" t="s">
        <v>88</v>
      </c>
      <c r="F8" s="123" t="s">
        <v>89</v>
      </c>
      <c r="G8" s="123" t="s">
        <v>93</v>
      </c>
      <c r="H8" s="123" t="s">
        <v>94</v>
      </c>
      <c r="I8" s="123" t="s">
        <v>95</v>
      </c>
      <c r="J8" s="123" t="s">
        <v>96</v>
      </c>
      <c r="K8" s="123" t="s">
        <v>97</v>
      </c>
      <c r="L8" s="123" t="s">
        <v>98</v>
      </c>
      <c r="M8" s="123" t="s">
        <v>99</v>
      </c>
      <c r="R8" s="156"/>
      <c r="T8" s="156"/>
      <c r="V8" s="156"/>
      <c r="AA8" s="8" t="s">
        <v>22</v>
      </c>
      <c r="AB8" s="19" t="s">
        <v>117</v>
      </c>
    </row>
    <row r="9" spans="2:25" ht="21.75" customHeight="1">
      <c r="B9" s="343" t="s">
        <v>46</v>
      </c>
      <c r="C9" s="344"/>
      <c r="D9" s="159">
        <f>IF(Index1&gt;100,Index1,100)</f>
        <v>101</v>
      </c>
      <c r="E9" s="159">
        <f>IF(Index2&gt;100,Index2,100)</f>
        <v>100</v>
      </c>
      <c r="F9" s="159">
        <f>IF(Index3&gt;100,Index3,100)</f>
        <v>100</v>
      </c>
      <c r="G9" s="159">
        <f>IF(Index4&gt;100,Index4,100)</f>
        <v>100</v>
      </c>
      <c r="H9" s="159">
        <f>IF(Index5&gt;100,Index5,100)</f>
        <v>100</v>
      </c>
      <c r="I9" s="159">
        <f>IF(Index6&gt;100,Index6,100)</f>
        <v>100</v>
      </c>
      <c r="J9" s="159">
        <f>IF(Index7&gt;100,Index7,100)</f>
        <v>100</v>
      </c>
      <c r="K9" s="159">
        <f>IF(Index8&gt;100,Index8,100)</f>
        <v>100</v>
      </c>
      <c r="L9" s="159">
        <f>IF(Index9&gt;100,Index9,100)</f>
        <v>100</v>
      </c>
      <c r="M9" s="160">
        <f>IF(Index10&gt;100,Index10,100)</f>
        <v>100</v>
      </c>
      <c r="O9" s="2" t="s">
        <v>60</v>
      </c>
      <c r="P9" s="109">
        <f aca="true" t="shared" si="0" ref="P9:Y9">MAX(D$21-D$22,0)</f>
        <v>50</v>
      </c>
      <c r="Q9" s="109">
        <f t="shared" si="0"/>
        <v>0</v>
      </c>
      <c r="R9" s="109">
        <f t="shared" si="0"/>
        <v>0</v>
      </c>
      <c r="S9" s="109">
        <f t="shared" si="0"/>
        <v>0</v>
      </c>
      <c r="T9" s="109">
        <f t="shared" si="0"/>
        <v>0</v>
      </c>
      <c r="U9" s="109">
        <f t="shared" si="0"/>
        <v>0</v>
      </c>
      <c r="V9" s="109">
        <f t="shared" si="0"/>
        <v>0</v>
      </c>
      <c r="W9" s="109">
        <f t="shared" si="0"/>
        <v>0</v>
      </c>
      <c r="X9" s="109">
        <f t="shared" si="0"/>
        <v>0</v>
      </c>
      <c r="Y9" s="109">
        <f t="shared" si="0"/>
        <v>0</v>
      </c>
    </row>
    <row r="10" spans="2:30" ht="47.25" customHeight="1">
      <c r="B10" s="314" t="s">
        <v>47</v>
      </c>
      <c r="C10" s="315"/>
      <c r="D10" s="164" t="str">
        <f>IF(D9&gt;100,VLOOKUP(D9,'Select Material'!$B$11:$K$302,2,FALSE),"Not Used")</f>
        <v>Example only select another</v>
      </c>
      <c r="E10" s="164" t="str">
        <f>IF(E9&gt;100,VLOOKUP(E9,'Select Material'!$B$11:$K$302,2,FALSE),"Not Used")</f>
        <v>Not Used</v>
      </c>
      <c r="F10" s="164" t="str">
        <f>IF(F9&gt;100,VLOOKUP(F9,'Select Material'!$B$11:$K$302,2,FALSE),"Not Used")</f>
        <v>Not Used</v>
      </c>
      <c r="G10" s="164" t="str">
        <f>IF(G9&gt;100,VLOOKUP(G9,'Select Material'!$B$11:$K$302,2,FALSE),"Not Used")</f>
        <v>Not Used</v>
      </c>
      <c r="H10" s="164" t="str">
        <f>IF(H9&gt;100,VLOOKUP(H9,'Select Material'!$B$11:$K$302,2,FALSE),"Not Used")</f>
        <v>Not Used</v>
      </c>
      <c r="I10" s="164" t="str">
        <f>IF(I9&gt;100,VLOOKUP(I9,'Select Material'!$B$11:$K$302,2,FALSE),"Not Used")</f>
        <v>Not Used</v>
      </c>
      <c r="J10" s="164" t="str">
        <f>IF(J9&gt;100,VLOOKUP(J9,'Select Material'!$B$11:$K$302,2,FALSE),"Not Used")</f>
        <v>Not Used</v>
      </c>
      <c r="K10" s="164" t="str">
        <f>IF(K9&gt;100,VLOOKUP(K9,'Select Material'!$B$11:$K$302,2,FALSE),"Not Used")</f>
        <v>Not Used</v>
      </c>
      <c r="L10" s="164" t="str">
        <f>IF(L9&gt;100,VLOOKUP(L9,'Select Material'!$B$11:$K$302,2,FALSE),"Not Used")</f>
        <v>Not Used</v>
      </c>
      <c r="M10" s="253" t="str">
        <f>IF(M9&gt;100,VLOOKUP(M9,'Select Material'!$B$11:$K$302,2,FALSE),"Not Used")</f>
        <v>Not Used</v>
      </c>
      <c r="O10" s="154" t="s">
        <v>126</v>
      </c>
      <c r="Y10" s="154"/>
      <c r="AA10" s="47" t="s">
        <v>35</v>
      </c>
      <c r="AB10" s="48"/>
      <c r="AC10" s="48"/>
      <c r="AD10" s="135"/>
    </row>
    <row r="11" spans="2:30" ht="31.5" customHeight="1">
      <c r="B11" s="314" t="s">
        <v>48</v>
      </c>
      <c r="C11" s="315"/>
      <c r="D11" s="165" t="str">
        <f>IF(D9&gt;100,VLOOKUP(D9,'Select Material'!$B$11:$K$203,4,FALSE),"Not Used")</f>
        <v>Example only - invalid data</v>
      </c>
      <c r="E11" s="165" t="str">
        <f>IF(E9&gt;100,VLOOKUP(E9,'Select Material'!$B$11:$K$203,4,FALSE),"Not Used")</f>
        <v>Not Used</v>
      </c>
      <c r="F11" s="165" t="str">
        <f>IF(F9&gt;100,VLOOKUP(F9,'Select Material'!$B$11:$K$203,4,FALSE),"Not Used")</f>
        <v>Not Used</v>
      </c>
      <c r="G11" s="165" t="str">
        <f>IF(G9&gt;100,VLOOKUP(G9,'Select Material'!$B$11:$K$203,4,FALSE),"Not Used")</f>
        <v>Not Used</v>
      </c>
      <c r="H11" s="165" t="str">
        <f>IF(H9&gt;100,VLOOKUP(H9,'Select Material'!$B$11:$K$203,4,FALSE),"Not Used")</f>
        <v>Not Used</v>
      </c>
      <c r="I11" s="165" t="str">
        <f>IF(I9&gt;100,VLOOKUP(I9,'Select Material'!$B$11:$K$203,4,FALSE),"Not Used")</f>
        <v>Not Used</v>
      </c>
      <c r="J11" s="165" t="str">
        <f>IF(J9&gt;100,VLOOKUP(J9,'Select Material'!$B$11:$K$203,4,FALSE),"Not Used")</f>
        <v>Not Used</v>
      </c>
      <c r="K11" s="165" t="str">
        <f>IF(K9&gt;100,VLOOKUP(K9,'Select Material'!$B$11:$K$203,4,FALSE),"Not Used")</f>
        <v>Not Used</v>
      </c>
      <c r="L11" s="165" t="str">
        <f>IF(L9&gt;100,VLOOKUP(L9,'Select Material'!$B$11:$K$203,4,FALSE),"Not Used")</f>
        <v>Not Used</v>
      </c>
      <c r="M11" s="166" t="str">
        <f>IF(M9&gt;100,VLOOKUP(M9,'Select Material'!$B$11:$K$203,4,FALSE),"Not Used")</f>
        <v>Not Used</v>
      </c>
      <c r="O11" s="11" t="s">
        <v>162</v>
      </c>
      <c r="P11" s="141">
        <f aca="true" t="shared" si="1" ref="P11:Y11">P15*P18/1000</f>
        <v>0.00039722690666666664</v>
      </c>
      <c r="Q11" s="141">
        <f t="shared" si="1"/>
        <v>2.4E-10</v>
      </c>
      <c r="R11" s="141">
        <f t="shared" si="1"/>
        <v>2.4E-10</v>
      </c>
      <c r="S11" s="141">
        <f t="shared" si="1"/>
        <v>2.4E-10</v>
      </c>
      <c r="T11" s="141">
        <f t="shared" si="1"/>
        <v>2.4E-10</v>
      </c>
      <c r="U11" s="141">
        <f t="shared" si="1"/>
        <v>2.4E-10</v>
      </c>
      <c r="V11" s="141">
        <f t="shared" si="1"/>
        <v>2.4E-10</v>
      </c>
      <c r="W11" s="141">
        <f t="shared" si="1"/>
        <v>2.4E-10</v>
      </c>
      <c r="X11" s="141">
        <f t="shared" si="1"/>
        <v>2.4E-10</v>
      </c>
      <c r="Y11" s="141">
        <f t="shared" si="1"/>
        <v>2.4E-10</v>
      </c>
      <c r="AA11" s="2" t="s">
        <v>34</v>
      </c>
      <c r="AD11" s="71"/>
    </row>
    <row r="12" spans="2:29" ht="15" customHeight="1">
      <c r="B12" s="314" t="s">
        <v>170</v>
      </c>
      <c r="C12" s="315"/>
      <c r="D12" s="144">
        <f>IF(D9&gt;100,VLOOKUP(D9,'Select Material'!$B$11:$K$203,8,FALSE),"Not used")</f>
        <v>4</v>
      </c>
      <c r="E12" s="144" t="str">
        <f>IF(E9&gt;100,VLOOKUP(E9,'Select Material'!$B$11:$K$203,8,FALSE),"Not used")</f>
        <v>Not used</v>
      </c>
      <c r="F12" s="144" t="str">
        <f>IF(F9&gt;100,VLOOKUP(F9,'Select Material'!$B$11:$K$203,8,FALSE),"Not used")</f>
        <v>Not used</v>
      </c>
      <c r="G12" s="144" t="str">
        <f>IF(G9&gt;100,VLOOKUP(G9,'Select Material'!$B$11:$K$203,8,FALSE),"Not used")</f>
        <v>Not used</v>
      </c>
      <c r="H12" s="144" t="str">
        <f>IF(H9&gt;100,VLOOKUP(H9,'Select Material'!$B$11:$K$203,8,FALSE),"Not used")</f>
        <v>Not used</v>
      </c>
      <c r="I12" s="144" t="str">
        <f>IF(I9&gt;100,VLOOKUP(I9,'Select Material'!$B$11:$K$203,8,FALSE),"Not used")</f>
        <v>Not used</v>
      </c>
      <c r="J12" s="144" t="str">
        <f>IF(J9&gt;100,VLOOKUP(J9,'Select Material'!$B$11:$K$203,8,FALSE),"Not used")</f>
        <v>Not used</v>
      </c>
      <c r="K12" s="144" t="str">
        <f>IF(K9&gt;100,VLOOKUP(K9,'Select Material'!$B$11:$K$203,8,FALSE),"Not used")</f>
        <v>Not used</v>
      </c>
      <c r="L12" s="144" t="str">
        <f>IF(L9&gt;100,VLOOKUP(L9,'Select Material'!$B$11:$K$203,8,FALSE),"Not used")</f>
        <v>Not used</v>
      </c>
      <c r="M12" s="161" t="str">
        <f>IF(M9&gt;100,VLOOKUP(M9,'Select Material'!$B$11:$K$203,8,FALSE),"Not used")</f>
        <v>Not used</v>
      </c>
      <c r="O12" s="12" t="s">
        <v>15</v>
      </c>
      <c r="P12" s="14">
        <f aca="true" t="shared" si="2" ref="P12:Y12">(EXP(P15*0.001*$AC$13*$AC$14*P30)-1)/(P15*0.001*$AC$13*$AC$14)</f>
        <v>6.238865705380558</v>
      </c>
      <c r="Q12" s="14" t="e">
        <f t="shared" si="2"/>
        <v>#VALUE!</v>
      </c>
      <c r="R12" s="14" t="e">
        <f t="shared" si="2"/>
        <v>#VALUE!</v>
      </c>
      <c r="S12" s="14" t="e">
        <f t="shared" si="2"/>
        <v>#VALUE!</v>
      </c>
      <c r="T12" s="14" t="e">
        <f t="shared" si="2"/>
        <v>#VALUE!</v>
      </c>
      <c r="U12" s="14" t="e">
        <f t="shared" si="2"/>
        <v>#VALUE!</v>
      </c>
      <c r="V12" s="14" t="e">
        <f t="shared" si="2"/>
        <v>#VALUE!</v>
      </c>
      <c r="W12" s="14" t="e">
        <f t="shared" si="2"/>
        <v>#VALUE!</v>
      </c>
      <c r="X12" s="14" t="e">
        <f t="shared" si="2"/>
        <v>#VALUE!</v>
      </c>
      <c r="Y12" s="14" t="e">
        <f t="shared" si="2"/>
        <v>#VALUE!</v>
      </c>
      <c r="AA12" s="53"/>
      <c r="AB12" s="54"/>
      <c r="AC12" s="55"/>
    </row>
    <row r="13" spans="2:29" ht="15" customHeight="1">
      <c r="B13" s="321" t="s">
        <v>122</v>
      </c>
      <c r="C13" s="322"/>
      <c r="D13" s="194" t="str">
        <f>IF(D9&gt;100,VLOOKUP(D9,'Select Material'!$U$11:$Z$203,4,FALSE),"Not used")</f>
        <v>XS-CHA</v>
      </c>
      <c r="E13" s="194" t="str">
        <f>IF(E9&gt;100,VLOOKUP(E9,'Select Material'!$U$11:$Z$203,4,FALSE),"Not used")</f>
        <v>Not used</v>
      </c>
      <c r="F13" s="194" t="str">
        <f>IF(F9&gt;100,VLOOKUP(F9,'Select Material'!$U$11:$Z$203,4,FALSE),"Not used")</f>
        <v>Not used</v>
      </c>
      <c r="G13" s="194" t="str">
        <f>IF(G9&gt;100,VLOOKUP(G9,'Select Material'!$U$11:$Z$203,4,FALSE),"Not used")</f>
        <v>Not used</v>
      </c>
      <c r="H13" s="194" t="str">
        <f>IF(H9&gt;100,VLOOKUP(H9,'Select Material'!$U$11:$Z$203,4,FALSE),"Not used")</f>
        <v>Not used</v>
      </c>
      <c r="I13" s="194" t="str">
        <f>IF(I9&gt;100,VLOOKUP(I9,'Select Material'!$U$11:$Z$203,4,FALSE),"Not used")</f>
        <v>Not used</v>
      </c>
      <c r="J13" s="194" t="str">
        <f>IF(J9&gt;100,VLOOKUP(J9,'Select Material'!$U$11:$Z$203,4,FALSE),"Not used")</f>
        <v>Not used</v>
      </c>
      <c r="K13" s="194" t="str">
        <f>IF(K9&gt;100,VLOOKUP(K9,'Select Material'!$U$11:$Z$203,4,FALSE),"Not used")</f>
        <v>Not used</v>
      </c>
      <c r="L13" s="194" t="str">
        <f>IF(L9&gt;100,VLOOKUP(L9,'Select Material'!$U$11:$Z$203,4,FALSE),"Not used")</f>
        <v>Not used</v>
      </c>
      <c r="M13" s="195" t="str">
        <f>IF(M9&gt;100,VLOOKUP(M9,'Select Material'!$U$11:$Z$203,4,FALSE),"Not used")</f>
        <v>Not used</v>
      </c>
      <c r="O13" s="12" t="s">
        <v>32</v>
      </c>
      <c r="P13" s="14">
        <f aca="true" t="shared" si="3" ref="P13:Y13">1/(((1/P12)+P37)^P36)</f>
        <v>6.238979920768349</v>
      </c>
      <c r="Q13" s="14" t="e">
        <f t="shared" si="3"/>
        <v>#VALUE!</v>
      </c>
      <c r="R13" s="14" t="e">
        <f t="shared" si="3"/>
        <v>#VALUE!</v>
      </c>
      <c r="S13" s="14" t="e">
        <f t="shared" si="3"/>
        <v>#VALUE!</v>
      </c>
      <c r="T13" s="14" t="e">
        <f t="shared" si="3"/>
        <v>#VALUE!</v>
      </c>
      <c r="U13" s="14" t="e">
        <f t="shared" si="3"/>
        <v>#VALUE!</v>
      </c>
      <c r="V13" s="14" t="e">
        <f t="shared" si="3"/>
        <v>#VALUE!</v>
      </c>
      <c r="W13" s="14" t="e">
        <f t="shared" si="3"/>
        <v>#VALUE!</v>
      </c>
      <c r="X13" s="14" t="e">
        <f t="shared" si="3"/>
        <v>#VALUE!</v>
      </c>
      <c r="Y13" s="14" t="e">
        <f t="shared" si="3"/>
        <v>#VALUE!</v>
      </c>
      <c r="AA13" s="58"/>
      <c r="AB13" s="17" t="s">
        <v>21</v>
      </c>
      <c r="AC13" s="59">
        <v>1.25</v>
      </c>
    </row>
    <row r="14" spans="2:60" ht="15" customHeight="1">
      <c r="B14" s="69"/>
      <c r="C14" s="130"/>
      <c r="D14" s="20"/>
      <c r="E14" s="68"/>
      <c r="F14" s="68"/>
      <c r="G14" s="68"/>
      <c r="H14" s="68"/>
      <c r="I14" s="68"/>
      <c r="J14" s="68"/>
      <c r="K14" s="68"/>
      <c r="L14" s="68"/>
      <c r="M14" s="68"/>
      <c r="N14" s="157"/>
      <c r="O14" s="13" t="s">
        <v>33</v>
      </c>
      <c r="P14" s="103">
        <f aca="true" t="shared" si="4" ref="P14:Y14">IF(P13-P19-P20&gt;=P30,P13-P19-P20,P30)</f>
        <v>5.689162737305817</v>
      </c>
      <c r="Q14" s="103" t="e">
        <f t="shared" si="4"/>
        <v>#VALUE!</v>
      </c>
      <c r="R14" s="103" t="e">
        <f t="shared" si="4"/>
        <v>#VALUE!</v>
      </c>
      <c r="S14" s="103" t="e">
        <f t="shared" si="4"/>
        <v>#VALUE!</v>
      </c>
      <c r="T14" s="103" t="e">
        <f t="shared" si="4"/>
        <v>#VALUE!</v>
      </c>
      <c r="U14" s="103" t="e">
        <f t="shared" si="4"/>
        <v>#VALUE!</v>
      </c>
      <c r="V14" s="103" t="e">
        <f t="shared" si="4"/>
        <v>#VALUE!</v>
      </c>
      <c r="W14" s="103" t="e">
        <f t="shared" si="4"/>
        <v>#VALUE!</v>
      </c>
      <c r="X14" s="103" t="e">
        <f t="shared" si="4"/>
        <v>#VALUE!</v>
      </c>
      <c r="Y14" s="103" t="e">
        <f t="shared" si="4"/>
        <v>#VALUE!</v>
      </c>
      <c r="Z14" s="19"/>
      <c r="AA14" s="58"/>
      <c r="AB14" s="17" t="s">
        <v>14</v>
      </c>
      <c r="AC14" s="60">
        <v>1005</v>
      </c>
      <c r="AE14" s="19"/>
      <c r="AV14" s="2"/>
      <c r="AW14" s="2"/>
      <c r="AX14" s="2"/>
      <c r="AY14" s="2"/>
      <c r="AZ14" s="2"/>
      <c r="BA14" s="2"/>
      <c r="BB14" s="2"/>
      <c r="BC14" s="2"/>
      <c r="BD14" s="2"/>
      <c r="BE14" s="2"/>
      <c r="BF14" s="2"/>
      <c r="BG14" s="2"/>
      <c r="BH14" s="2"/>
    </row>
    <row r="15" spans="2:60" ht="19.5" customHeight="1">
      <c r="B15" s="337" t="s">
        <v>237</v>
      </c>
      <c r="C15" s="338"/>
      <c r="D15" s="324"/>
      <c r="E15" s="339"/>
      <c r="F15" s="131"/>
      <c r="G15" s="131"/>
      <c r="H15" s="131"/>
      <c r="I15" s="131"/>
      <c r="J15" s="131"/>
      <c r="K15" s="131"/>
      <c r="L15" s="131"/>
      <c r="M15" s="131"/>
      <c r="N15" s="131"/>
      <c r="O15" s="11" t="s">
        <v>57</v>
      </c>
      <c r="P15" s="11">
        <f>(0.5-IF($D27=$AA39,$D17/20*(2/3),0))*1000*$D$16*P40*P41*P42/(SUMIF($D$9:$M$9,"&gt;100",$P$9:$Y$9)*3600)+0.0000001</f>
        <v>0.1655112111111111</v>
      </c>
      <c r="Q15" s="11">
        <f aca="true" t="shared" si="5" ref="Q15:Y15">(0.5-IF($D27=$AA39,$D17/20*(2/3),0))*1000*$D$16*Q40*Q41*Q42/(SUMIF($D$9:$M$9,"&gt;100",$P$9:$Y$9)*3600)+0.0000001</f>
        <v>1E-07</v>
      </c>
      <c r="R15" s="11">
        <f t="shared" si="5"/>
        <v>1E-07</v>
      </c>
      <c r="S15" s="11">
        <f t="shared" si="5"/>
        <v>1E-07</v>
      </c>
      <c r="T15" s="11">
        <f t="shared" si="5"/>
        <v>1E-07</v>
      </c>
      <c r="U15" s="11">
        <f t="shared" si="5"/>
        <v>1E-07</v>
      </c>
      <c r="V15" s="11">
        <f t="shared" si="5"/>
        <v>1E-07</v>
      </c>
      <c r="W15" s="11">
        <f t="shared" si="5"/>
        <v>1E-07</v>
      </c>
      <c r="X15" s="11">
        <f t="shared" si="5"/>
        <v>1E-07</v>
      </c>
      <c r="Y15" s="11">
        <f t="shared" si="5"/>
        <v>1E-07</v>
      </c>
      <c r="Z15" s="19"/>
      <c r="AA15" s="58"/>
      <c r="AB15" s="17" t="s">
        <v>16</v>
      </c>
      <c r="AC15" s="117">
        <v>20</v>
      </c>
      <c r="AE15" s="6"/>
      <c r="AG15" s="6"/>
      <c r="AV15" s="2"/>
      <c r="AW15" s="2"/>
      <c r="AX15" s="2"/>
      <c r="AY15" s="2"/>
      <c r="AZ15" s="2"/>
      <c r="BA15" s="2"/>
      <c r="BB15" s="2"/>
      <c r="BC15" s="2"/>
      <c r="BD15" s="2"/>
      <c r="BE15" s="2"/>
      <c r="BF15" s="2"/>
      <c r="BG15" s="2"/>
      <c r="BH15" s="2"/>
    </row>
    <row r="16" spans="2:62" ht="15" customHeight="1">
      <c r="B16" s="84" t="s">
        <v>52</v>
      </c>
      <c r="C16" s="86" t="s">
        <v>292</v>
      </c>
      <c r="D16" s="95">
        <v>100</v>
      </c>
      <c r="E16" s="85" t="s">
        <v>51</v>
      </c>
      <c r="F16" s="143">
        <f>IF(D16&gt;0,"","Î")</f>
      </c>
      <c r="G16" s="126"/>
      <c r="H16" s="126"/>
      <c r="I16" s="126"/>
      <c r="J16" s="126"/>
      <c r="K16" s="126"/>
      <c r="L16" s="126"/>
      <c r="M16" s="126"/>
      <c r="N16" s="126"/>
      <c r="O16" s="198"/>
      <c r="P16" s="198"/>
      <c r="Q16" s="198"/>
      <c r="R16" s="198"/>
      <c r="S16" s="198"/>
      <c r="T16" s="198"/>
      <c r="U16" s="198"/>
      <c r="V16" s="198"/>
      <c r="W16" s="198"/>
      <c r="X16" s="198"/>
      <c r="Y16" s="198"/>
      <c r="Z16" s="19"/>
      <c r="AA16" s="138"/>
      <c r="AB16" s="139" t="s">
        <v>17</v>
      </c>
      <c r="AC16" s="140">
        <v>6.7</v>
      </c>
      <c r="AE16" s="154"/>
      <c r="AF16" s="154"/>
      <c r="AG16" s="154"/>
      <c r="AH16" s="154"/>
      <c r="AI16" s="154"/>
      <c r="AJ16" s="178"/>
      <c r="AK16" s="179"/>
      <c r="AL16" s="177"/>
      <c r="AM16" s="177"/>
      <c r="AN16" s="177"/>
      <c r="AO16" s="158"/>
      <c r="AP16" s="180"/>
      <c r="AQ16" s="180"/>
      <c r="AR16" s="181"/>
      <c r="AS16" s="179"/>
      <c r="AT16" s="180"/>
      <c r="AU16" s="180"/>
      <c r="AV16" s="180"/>
      <c r="AW16" s="154"/>
      <c r="AX16" s="2"/>
      <c r="AY16" s="2"/>
      <c r="AZ16" s="2"/>
      <c r="BA16" s="2"/>
      <c r="BB16" s="2"/>
      <c r="BC16" s="2"/>
      <c r="BD16" s="2"/>
      <c r="BE16" s="2"/>
      <c r="BF16" s="2"/>
      <c r="BG16" s="20"/>
      <c r="BH16" s="2"/>
      <c r="BJ16" s="2"/>
    </row>
    <row r="17" spans="2:62" ht="15" customHeight="1">
      <c r="B17" s="269" t="s">
        <v>242</v>
      </c>
      <c r="C17" s="86" t="s">
        <v>291</v>
      </c>
      <c r="D17" s="270">
        <v>3</v>
      </c>
      <c r="E17" s="271" t="s">
        <v>233</v>
      </c>
      <c r="F17" s="2" t="s">
        <v>243</v>
      </c>
      <c r="G17" s="126"/>
      <c r="H17" s="126"/>
      <c r="I17" s="126"/>
      <c r="J17" s="126"/>
      <c r="K17" s="126"/>
      <c r="L17" s="126"/>
      <c r="M17" s="126"/>
      <c r="N17" s="126"/>
      <c r="O17" s="198"/>
      <c r="P17" s="198"/>
      <c r="Q17" s="198"/>
      <c r="R17" s="198"/>
      <c r="S17" s="198"/>
      <c r="T17" s="198"/>
      <c r="U17" s="198"/>
      <c r="V17" s="198"/>
      <c r="W17" s="198"/>
      <c r="X17" s="198"/>
      <c r="Y17" s="198"/>
      <c r="Z17" s="19"/>
      <c r="AA17" s="267"/>
      <c r="AB17" s="17"/>
      <c r="AC17" s="268"/>
      <c r="AE17" s="154"/>
      <c r="AF17" s="154"/>
      <c r="AG17" s="154"/>
      <c r="AH17" s="154"/>
      <c r="AI17" s="154"/>
      <c r="AJ17" s="178"/>
      <c r="AK17" s="179"/>
      <c r="AL17" s="177"/>
      <c r="AM17" s="177"/>
      <c r="AN17" s="177"/>
      <c r="AO17" s="158"/>
      <c r="AP17" s="180"/>
      <c r="AQ17" s="180"/>
      <c r="AR17" s="181"/>
      <c r="AS17" s="179"/>
      <c r="AT17" s="180"/>
      <c r="AU17" s="180"/>
      <c r="AV17" s="180"/>
      <c r="AW17" s="154"/>
      <c r="AX17" s="2"/>
      <c r="AY17" s="2"/>
      <c r="AZ17" s="2"/>
      <c r="BA17" s="2"/>
      <c r="BB17" s="2"/>
      <c r="BC17" s="2"/>
      <c r="BD17" s="2"/>
      <c r="BE17" s="2"/>
      <c r="BF17" s="2"/>
      <c r="BG17" s="20"/>
      <c r="BH17" s="2"/>
      <c r="BJ17" s="2"/>
    </row>
    <row r="18" spans="2:62" ht="47.25" customHeight="1">
      <c r="B18" s="323">
        <f>IF(AND(D27&lt;&gt;AA43,OR(D17&gt;3,D17&lt;=0)),"Warning the procedure is only valid for an air tightness less than 3 and not zero for all ventiliation systems except PIV (see Q08 below).","")</f>
      </c>
      <c r="C18" s="324"/>
      <c r="O18" s="112" t="s">
        <v>80</v>
      </c>
      <c r="P18" s="142">
        <v>2.4</v>
      </c>
      <c r="Q18" s="142">
        <v>2.4</v>
      </c>
      <c r="R18" s="142">
        <v>2.4</v>
      </c>
      <c r="S18" s="142">
        <v>2.4</v>
      </c>
      <c r="T18" s="142">
        <v>2.4</v>
      </c>
      <c r="U18" s="142">
        <v>2.4</v>
      </c>
      <c r="V18" s="142">
        <v>2.4</v>
      </c>
      <c r="W18" s="142">
        <v>2.4</v>
      </c>
      <c r="X18" s="142">
        <v>2.4</v>
      </c>
      <c r="Y18" s="142">
        <v>2.4</v>
      </c>
      <c r="AA18" s="19" t="s">
        <v>28</v>
      </c>
      <c r="AD18" s="3"/>
      <c r="AE18" s="154"/>
      <c r="AF18" s="154"/>
      <c r="AG18" s="154"/>
      <c r="AH18" s="154"/>
      <c r="AI18" s="154"/>
      <c r="AJ18" s="154"/>
      <c r="AK18" s="154"/>
      <c r="AL18" s="154"/>
      <c r="AM18" s="154"/>
      <c r="AN18" s="154"/>
      <c r="AO18" s="154"/>
      <c r="AP18" s="175"/>
      <c r="AQ18" s="154"/>
      <c r="AR18" s="154"/>
      <c r="AS18" s="158"/>
      <c r="AT18" s="158"/>
      <c r="AU18" s="176"/>
      <c r="AV18" s="182"/>
      <c r="AW18" s="154"/>
      <c r="AX18" s="2"/>
      <c r="AY18" s="2"/>
      <c r="AZ18" s="2"/>
      <c r="BA18" s="2"/>
      <c r="BB18" s="2"/>
      <c r="BC18" s="2"/>
      <c r="BD18" s="2"/>
      <c r="BE18" s="2"/>
      <c r="BF18" s="2"/>
      <c r="BG18" s="20"/>
      <c r="BH18" s="2"/>
      <c r="BJ18" s="2"/>
    </row>
    <row r="19" spans="2:60" ht="41.25" customHeight="1">
      <c r="B19" s="337" t="s">
        <v>256</v>
      </c>
      <c r="C19" s="324"/>
      <c r="D19" s="324"/>
      <c r="E19" s="324"/>
      <c r="F19" s="324"/>
      <c r="G19" s="324"/>
      <c r="H19" s="340"/>
      <c r="I19" s="324"/>
      <c r="J19" s="324"/>
      <c r="K19" s="324"/>
      <c r="L19" s="324"/>
      <c r="M19" s="339"/>
      <c r="N19" s="155"/>
      <c r="O19" s="112" t="s">
        <v>75</v>
      </c>
      <c r="P19" s="11">
        <f aca="true" t="shared" si="6" ref="P19:Y20">D38</f>
        <v>0.37381718346253234</v>
      </c>
      <c r="Q19" s="11">
        <f t="shared" si="6"/>
        <v>0</v>
      </c>
      <c r="R19" s="11">
        <f t="shared" si="6"/>
        <v>0</v>
      </c>
      <c r="S19" s="11">
        <f t="shared" si="6"/>
        <v>0</v>
      </c>
      <c r="T19" s="11">
        <f t="shared" si="6"/>
        <v>0</v>
      </c>
      <c r="U19" s="11">
        <f t="shared" si="6"/>
        <v>0</v>
      </c>
      <c r="V19" s="11">
        <f t="shared" si="6"/>
        <v>0</v>
      </c>
      <c r="W19" s="11">
        <f t="shared" si="6"/>
        <v>0</v>
      </c>
      <c r="X19" s="11">
        <f t="shared" si="6"/>
        <v>0</v>
      </c>
      <c r="Y19" s="11">
        <f t="shared" si="6"/>
        <v>0</v>
      </c>
      <c r="AA19" s="21" t="s">
        <v>25</v>
      </c>
      <c r="AB19" s="22"/>
      <c r="AC19" s="115" t="s">
        <v>85</v>
      </c>
      <c r="AD19" s="122"/>
      <c r="AE19" s="183"/>
      <c r="AF19" s="180"/>
      <c r="AG19" s="184"/>
      <c r="AH19" s="180"/>
      <c r="AI19" s="180"/>
      <c r="AJ19" s="180"/>
      <c r="AK19" s="185"/>
      <c r="AL19" s="180"/>
      <c r="AM19" s="180"/>
      <c r="AN19" s="180"/>
      <c r="AO19" s="186"/>
      <c r="AP19" s="180"/>
      <c r="AQ19" s="180"/>
      <c r="AR19" s="187"/>
      <c r="AS19" s="187"/>
      <c r="AT19" s="175"/>
      <c r="AU19" s="175"/>
      <c r="AV19" s="175"/>
      <c r="AW19" s="154"/>
      <c r="AX19" s="2"/>
      <c r="AY19" s="2"/>
      <c r="AZ19" s="2"/>
      <c r="BA19" s="2"/>
      <c r="BB19" s="2"/>
      <c r="BC19" s="2"/>
      <c r="BD19" s="2"/>
      <c r="BE19" s="2"/>
      <c r="BF19" s="2"/>
      <c r="BG19" s="2"/>
      <c r="BH19" s="2"/>
    </row>
    <row r="20" spans="2:60" ht="24.75" customHeight="1">
      <c r="B20" s="347" t="s">
        <v>111</v>
      </c>
      <c r="C20" s="348"/>
      <c r="D20" s="162" t="s">
        <v>100</v>
      </c>
      <c r="E20" s="162" t="s">
        <v>101</v>
      </c>
      <c r="F20" s="162" t="s">
        <v>102</v>
      </c>
      <c r="G20" s="162" t="s">
        <v>103</v>
      </c>
      <c r="H20" s="162" t="s">
        <v>104</v>
      </c>
      <c r="I20" s="162" t="s">
        <v>105</v>
      </c>
      <c r="J20" s="162" t="s">
        <v>106</v>
      </c>
      <c r="K20" s="162" t="s">
        <v>107</v>
      </c>
      <c r="L20" s="162" t="s">
        <v>108</v>
      </c>
      <c r="M20" s="162" t="s">
        <v>109</v>
      </c>
      <c r="N20" s="169"/>
      <c r="O20" s="112" t="s">
        <v>76</v>
      </c>
      <c r="P20" s="11">
        <f t="shared" si="6"/>
        <v>0.17600000000000002</v>
      </c>
      <c r="Q20" s="11">
        <f t="shared" si="6"/>
        <v>0</v>
      </c>
      <c r="R20" s="11">
        <f t="shared" si="6"/>
        <v>0</v>
      </c>
      <c r="S20" s="11">
        <f t="shared" si="6"/>
        <v>0</v>
      </c>
      <c r="T20" s="11">
        <f t="shared" si="6"/>
        <v>0</v>
      </c>
      <c r="U20" s="11">
        <f t="shared" si="6"/>
        <v>0</v>
      </c>
      <c r="V20" s="11">
        <f t="shared" si="6"/>
        <v>0</v>
      </c>
      <c r="W20" s="11">
        <f t="shared" si="6"/>
        <v>0</v>
      </c>
      <c r="X20" s="11">
        <f t="shared" si="6"/>
        <v>0</v>
      </c>
      <c r="Y20" s="11">
        <f t="shared" si="6"/>
        <v>0</v>
      </c>
      <c r="AA20" s="23" t="s">
        <v>26</v>
      </c>
      <c r="AC20" s="25" t="s">
        <v>23</v>
      </c>
      <c r="AD20" s="44"/>
      <c r="AE20" s="183"/>
      <c r="AF20" s="180"/>
      <c r="AG20" s="184"/>
      <c r="AH20" s="180"/>
      <c r="AI20" s="180"/>
      <c r="AJ20" s="180"/>
      <c r="AK20" s="185"/>
      <c r="AL20" s="180"/>
      <c r="AM20" s="180"/>
      <c r="AN20" s="180"/>
      <c r="AO20" s="186"/>
      <c r="AP20" s="180"/>
      <c r="AQ20" s="180"/>
      <c r="AR20" s="187"/>
      <c r="AS20" s="187"/>
      <c r="AT20" s="175"/>
      <c r="AU20" s="175"/>
      <c r="AV20" s="175"/>
      <c r="AW20" s="154"/>
      <c r="AX20" s="2"/>
      <c r="AY20" s="2"/>
      <c r="AZ20" s="2"/>
      <c r="BA20" s="2"/>
      <c r="BB20" s="2"/>
      <c r="BC20" s="2"/>
      <c r="BD20" s="2"/>
      <c r="BE20" s="2"/>
      <c r="BF20" s="2"/>
      <c r="BG20" s="2"/>
      <c r="BH20" s="2"/>
    </row>
    <row r="21" spans="2:60" ht="30" customHeight="1">
      <c r="B21" s="118" t="s">
        <v>92</v>
      </c>
      <c r="C21" s="271" t="s">
        <v>130</v>
      </c>
      <c r="D21" s="124">
        <v>50</v>
      </c>
      <c r="E21" s="124"/>
      <c r="F21" s="124"/>
      <c r="G21" s="124"/>
      <c r="H21" s="124"/>
      <c r="I21" s="124"/>
      <c r="J21" s="124"/>
      <c r="K21" s="124"/>
      <c r="L21" s="124"/>
      <c r="M21" s="124"/>
      <c r="O21" s="197" t="s">
        <v>123</v>
      </c>
      <c r="P21" s="158"/>
      <c r="Q21" s="158"/>
      <c r="R21" s="158"/>
      <c r="S21" s="158"/>
      <c r="T21" s="158"/>
      <c r="U21" s="158"/>
      <c r="V21" s="158"/>
      <c r="W21" s="158"/>
      <c r="X21" s="158"/>
      <c r="Y21" s="158"/>
      <c r="AA21" s="24" t="s">
        <v>27</v>
      </c>
      <c r="AC21" s="20" t="s">
        <v>24</v>
      </c>
      <c r="AD21" s="44"/>
      <c r="AE21" s="154"/>
      <c r="AF21" s="154"/>
      <c r="AG21" s="154"/>
      <c r="AH21" s="154"/>
      <c r="AP21" s="2"/>
      <c r="AV21" s="2"/>
      <c r="AW21" s="2"/>
      <c r="AX21" s="2"/>
      <c r="AY21" s="2"/>
      <c r="AZ21" s="2"/>
      <c r="BA21" s="2"/>
      <c r="BB21" s="2"/>
      <c r="BC21" s="2"/>
      <c r="BD21" s="2"/>
      <c r="BE21" s="2"/>
      <c r="BF21" s="2"/>
      <c r="BG21" s="2"/>
      <c r="BH21" s="2"/>
    </row>
    <row r="22" spans="2:60" ht="31.5" customHeight="1">
      <c r="B22" s="118" t="s">
        <v>150</v>
      </c>
      <c r="C22" s="271" t="s">
        <v>234</v>
      </c>
      <c r="D22" s="124">
        <v>0</v>
      </c>
      <c r="E22" s="124"/>
      <c r="F22" s="124"/>
      <c r="G22" s="124"/>
      <c r="H22" s="124"/>
      <c r="I22" s="124"/>
      <c r="J22" s="124"/>
      <c r="K22" s="124"/>
      <c r="L22" s="124"/>
      <c r="M22" s="124"/>
      <c r="O22" s="11" t="s">
        <v>56</v>
      </c>
      <c r="P22" s="141">
        <f aca="true" t="shared" si="7" ref="P22:Y22">P27*P18*P40*P41*P42/1000</f>
        <v>0.00039722684541866664</v>
      </c>
      <c r="Q22" s="141">
        <f t="shared" si="7"/>
        <v>0</v>
      </c>
      <c r="R22" s="141">
        <f t="shared" si="7"/>
        <v>0</v>
      </c>
      <c r="S22" s="141">
        <f t="shared" si="7"/>
        <v>0</v>
      </c>
      <c r="T22" s="141">
        <f t="shared" si="7"/>
        <v>0</v>
      </c>
      <c r="U22" s="141">
        <f t="shared" si="7"/>
        <v>0</v>
      </c>
      <c r="V22" s="141">
        <f t="shared" si="7"/>
        <v>0</v>
      </c>
      <c r="W22" s="141">
        <f t="shared" si="7"/>
        <v>0</v>
      </c>
      <c r="X22" s="141">
        <f t="shared" si="7"/>
        <v>0</v>
      </c>
      <c r="Y22" s="141">
        <f t="shared" si="7"/>
        <v>0</v>
      </c>
      <c r="AA22" s="28"/>
      <c r="AD22" s="44"/>
      <c r="AE22" s="188"/>
      <c r="AF22" s="189"/>
      <c r="AG22" s="180"/>
      <c r="AH22" s="154"/>
      <c r="AP22" s="2"/>
      <c r="AV22" s="2"/>
      <c r="AW22" s="2"/>
      <c r="AX22" s="2"/>
      <c r="AY22" s="2"/>
      <c r="AZ22" s="2"/>
      <c r="BA22" s="2"/>
      <c r="BB22" s="2"/>
      <c r="BC22" s="2"/>
      <c r="BD22" s="2"/>
      <c r="BE22" s="2"/>
      <c r="BF22" s="2"/>
      <c r="BG22" s="2"/>
      <c r="BH22" s="2"/>
    </row>
    <row r="23" spans="15:60" ht="29.25" customHeight="1">
      <c r="O23" s="14" t="s">
        <v>18</v>
      </c>
      <c r="P23" s="104">
        <f aca="true" t="shared" si="8" ref="P23:Y23">(P19+P30+P20)/((P20+(P38*P30))*(P19+(1-P38)*P30)*$AC$13*$AC$14*P22)</f>
        <v>2.087752149253263</v>
      </c>
      <c r="Q23" s="104" t="e">
        <f t="shared" si="8"/>
        <v>#VALUE!</v>
      </c>
      <c r="R23" s="104" t="e">
        <f t="shared" si="8"/>
        <v>#VALUE!</v>
      </c>
      <c r="S23" s="104" t="e">
        <f t="shared" si="8"/>
        <v>#VALUE!</v>
      </c>
      <c r="T23" s="104" t="e">
        <f t="shared" si="8"/>
        <v>#VALUE!</v>
      </c>
      <c r="U23" s="104" t="e">
        <f t="shared" si="8"/>
        <v>#VALUE!</v>
      </c>
      <c r="V23" s="104" t="e">
        <f t="shared" si="8"/>
        <v>#VALUE!</v>
      </c>
      <c r="W23" s="104" t="e">
        <f t="shared" si="8"/>
        <v>#VALUE!</v>
      </c>
      <c r="X23" s="104" t="e">
        <f t="shared" si="8"/>
        <v>#VALUE!</v>
      </c>
      <c r="Y23" s="104" t="e">
        <f t="shared" si="8"/>
        <v>#VALUE!</v>
      </c>
      <c r="AA23" s="43"/>
      <c r="AB23" s="20" t="s">
        <v>49</v>
      </c>
      <c r="AD23" s="44"/>
      <c r="AE23" s="154"/>
      <c r="AF23" s="154"/>
      <c r="AG23" s="154"/>
      <c r="AH23" s="154"/>
      <c r="AP23" s="2"/>
      <c r="AV23" s="2"/>
      <c r="AW23" s="2"/>
      <c r="AX23" s="2"/>
      <c r="AY23" s="2"/>
      <c r="AZ23" s="2"/>
      <c r="BA23" s="2"/>
      <c r="BB23" s="2"/>
      <c r="BC23" s="2"/>
      <c r="BD23" s="2"/>
      <c r="BE23" s="2"/>
      <c r="BF23" s="2"/>
      <c r="BG23" s="2"/>
      <c r="BH23" s="2"/>
    </row>
    <row r="24" spans="2:60" ht="24.75" customHeight="1">
      <c r="B24" s="325" t="s">
        <v>210</v>
      </c>
      <c r="C24" s="326"/>
      <c r="D24" s="326"/>
      <c r="E24" s="326"/>
      <c r="F24" s="326"/>
      <c r="G24" s="327"/>
      <c r="H24" s="266" t="s">
        <v>230</v>
      </c>
      <c r="J24" s="116"/>
      <c r="K24" s="116"/>
      <c r="L24" s="116"/>
      <c r="M24" s="116"/>
      <c r="O24" s="14" t="s">
        <v>19</v>
      </c>
      <c r="P24" s="104">
        <f aca="true" t="shared" si="9" ref="P24:Y24">IF(P27&gt;0.001,(($AC$15-$AC$16)/(P31-$AC$16))*((P20+(P38*P30))*P23*P18)/(EXP(-P23*P18)+(P23*P18)-1),P30)</f>
        <v>5.674830407809903</v>
      </c>
      <c r="Q24" s="104" t="e">
        <f t="shared" si="9"/>
        <v>#VALUE!</v>
      </c>
      <c r="R24" s="104" t="e">
        <f t="shared" si="9"/>
        <v>#VALUE!</v>
      </c>
      <c r="S24" s="104" t="e">
        <f t="shared" si="9"/>
        <v>#VALUE!</v>
      </c>
      <c r="T24" s="104" t="e">
        <f t="shared" si="9"/>
        <v>#VALUE!</v>
      </c>
      <c r="U24" s="104" t="e">
        <f t="shared" si="9"/>
        <v>#VALUE!</v>
      </c>
      <c r="V24" s="104" t="e">
        <f t="shared" si="9"/>
        <v>#VALUE!</v>
      </c>
      <c r="W24" s="104" t="e">
        <f t="shared" si="9"/>
        <v>#VALUE!</v>
      </c>
      <c r="X24" s="104" t="e">
        <f t="shared" si="9"/>
        <v>#VALUE!</v>
      </c>
      <c r="Y24" s="104" t="e">
        <f t="shared" si="9"/>
        <v>#VALUE!</v>
      </c>
      <c r="AA24" s="64"/>
      <c r="AC24" s="82"/>
      <c r="AD24" s="105"/>
      <c r="AE24" s="170"/>
      <c r="AF24" s="171"/>
      <c r="AG24" s="172"/>
      <c r="AP24" s="2"/>
      <c r="AV24" s="2"/>
      <c r="AW24" s="2"/>
      <c r="AX24" s="2"/>
      <c r="AY24" s="2"/>
      <c r="AZ24" s="2"/>
      <c r="BA24" s="2"/>
      <c r="BB24" s="2"/>
      <c r="BC24" s="2"/>
      <c r="BD24" s="2"/>
      <c r="BE24" s="2"/>
      <c r="BF24" s="2"/>
      <c r="BG24" s="2"/>
      <c r="BH24" s="2"/>
    </row>
    <row r="25" spans="2:60" ht="30.75" customHeight="1">
      <c r="B25" s="335" t="s">
        <v>53</v>
      </c>
      <c r="C25" s="336"/>
      <c r="D25" s="316" t="s">
        <v>114</v>
      </c>
      <c r="E25" s="349"/>
      <c r="F25" s="349"/>
      <c r="G25" s="271" t="s">
        <v>50</v>
      </c>
      <c r="H25" s="265">
        <f>IF($D$25='Select Material'!$M$10,VLOOKUP(D9,'Select Material'!$B$11:$S$203,12,FALSE),IF($D$25='Select Material'!$N$10,VLOOKUP(D9,'Select Material'!$B$11:$S$203,13,FALSE),0))</f>
        <v>0.95</v>
      </c>
      <c r="I25" s="287">
        <f>IF(M25,"","Error build method not valid for first selected material")</f>
      </c>
      <c r="K25" s="125"/>
      <c r="L25" s="125"/>
      <c r="M25" s="285" t="b">
        <f>IF(H25&lt;&gt;"NA",TRUE,FALSE)</f>
        <v>1</v>
      </c>
      <c r="N25" s="155"/>
      <c r="O25" s="12" t="s">
        <v>31</v>
      </c>
      <c r="P25" s="104">
        <f aca="true" t="shared" si="10" ref="P25:Y25">1/(((1/P24)+P37)^P36)</f>
        <v>5.675025248462958</v>
      </c>
      <c r="Q25" s="104" t="e">
        <f t="shared" si="10"/>
        <v>#VALUE!</v>
      </c>
      <c r="R25" s="104" t="e">
        <f t="shared" si="10"/>
        <v>#VALUE!</v>
      </c>
      <c r="S25" s="104" t="e">
        <f t="shared" si="10"/>
        <v>#VALUE!</v>
      </c>
      <c r="T25" s="104" t="e">
        <f t="shared" si="10"/>
        <v>#VALUE!</v>
      </c>
      <c r="U25" s="104" t="e">
        <f t="shared" si="10"/>
        <v>#VALUE!</v>
      </c>
      <c r="V25" s="104" t="e">
        <f t="shared" si="10"/>
        <v>#VALUE!</v>
      </c>
      <c r="W25" s="104" t="e">
        <f t="shared" si="10"/>
        <v>#VALUE!</v>
      </c>
      <c r="X25" s="104" t="e">
        <f t="shared" si="10"/>
        <v>#VALUE!</v>
      </c>
      <c r="Y25" s="104" t="e">
        <f t="shared" si="10"/>
        <v>#VALUE!</v>
      </c>
      <c r="AA25" s="330" t="s">
        <v>61</v>
      </c>
      <c r="AB25" s="331"/>
      <c r="AC25" s="331"/>
      <c r="AD25" s="332"/>
      <c r="AE25" s="170"/>
      <c r="AF25" s="171"/>
      <c r="AG25" s="172"/>
      <c r="AV25" s="2"/>
      <c r="AW25" s="2"/>
      <c r="AX25" s="2"/>
      <c r="AY25" s="2"/>
      <c r="AZ25" s="2"/>
      <c r="BA25" s="2"/>
      <c r="BB25" s="2"/>
      <c r="BC25" s="2"/>
      <c r="BD25" s="2"/>
      <c r="BE25" s="2"/>
      <c r="BF25" s="2"/>
      <c r="BG25" s="2"/>
      <c r="BH25" s="2"/>
    </row>
    <row r="26" spans="2:60" ht="30.75" customHeight="1">
      <c r="B26" s="335" t="s">
        <v>10</v>
      </c>
      <c r="C26" s="336"/>
      <c r="D26" s="316" t="s">
        <v>115</v>
      </c>
      <c r="E26" s="317"/>
      <c r="F26" s="317"/>
      <c r="G26" s="271" t="s">
        <v>131</v>
      </c>
      <c r="H26" s="265">
        <f>IF($D$26=$AA$32,VLOOKUP(D9,'Select Material'!$B$11:$S$203,16,FALSE),0)+IF($D$26=$AA$33,VLOOKUP(D9,'Select Material'!$B$11:$S$203,17,FALSE),0)+IF($D$26=$AA$34,VLOOKUP(D9,'Select Material'!$B$11:$S$203,18,FALSE),0)</f>
        <v>0.8</v>
      </c>
      <c r="J26" s="125"/>
      <c r="K26" s="125"/>
      <c r="L26" s="125"/>
      <c r="M26" s="125"/>
      <c r="N26" s="125"/>
      <c r="O26" s="13" t="s">
        <v>91</v>
      </c>
      <c r="P26" s="103">
        <f>IF((P25-P19-P20)&gt;P30,(P25-P19-P20),P30)</f>
        <v>5.125208065000426</v>
      </c>
      <c r="Q26" s="103" t="e">
        <f aca="true" t="shared" si="11" ref="Q26:Y26">IF((Q25-Q19-Q20)&gt;Q30,(Q25-Q19-Q20),Q30)</f>
        <v>#VALUE!</v>
      </c>
      <c r="R26" s="103" t="e">
        <f t="shared" si="11"/>
        <v>#VALUE!</v>
      </c>
      <c r="S26" s="103" t="e">
        <f t="shared" si="11"/>
        <v>#VALUE!</v>
      </c>
      <c r="T26" s="103" t="e">
        <f t="shared" si="11"/>
        <v>#VALUE!</v>
      </c>
      <c r="U26" s="103" t="e">
        <f t="shared" si="11"/>
        <v>#VALUE!</v>
      </c>
      <c r="V26" s="103" t="e">
        <f t="shared" si="11"/>
        <v>#VALUE!</v>
      </c>
      <c r="W26" s="103" t="e">
        <f t="shared" si="11"/>
        <v>#VALUE!</v>
      </c>
      <c r="X26" s="103" t="e">
        <f t="shared" si="11"/>
        <v>#VALUE!</v>
      </c>
      <c r="Y26" s="103" t="e">
        <f t="shared" si="11"/>
        <v>#VALUE!</v>
      </c>
      <c r="AA26" s="106"/>
      <c r="AB26" s="107"/>
      <c r="AC26" s="107"/>
      <c r="AD26" s="196"/>
      <c r="AV26" s="2"/>
      <c r="AW26" s="2"/>
      <c r="AX26" s="2"/>
      <c r="AY26" s="2"/>
      <c r="AZ26" s="2"/>
      <c r="BA26" s="2"/>
      <c r="BB26" s="2"/>
      <c r="BC26" s="2"/>
      <c r="BD26" s="2"/>
      <c r="BE26" s="2"/>
      <c r="BF26" s="2"/>
      <c r="BG26" s="2"/>
      <c r="BH26" s="2"/>
    </row>
    <row r="27" spans="2:60" ht="30.75" customHeight="1">
      <c r="B27" s="335" t="s">
        <v>12</v>
      </c>
      <c r="C27" s="336"/>
      <c r="D27" s="350" t="s">
        <v>227</v>
      </c>
      <c r="E27" s="317"/>
      <c r="F27" s="317"/>
      <c r="G27" s="271" t="s">
        <v>216</v>
      </c>
      <c r="H27" s="265">
        <f>IF($D$27=$AA$39,VLOOKUP(D9,'Select Material'!$B$11:S$203,14,FALSE),VLOOKUP(D9,'Select Material'!$B$11:S$203,15,FALSE))</f>
        <v>0.98</v>
      </c>
      <c r="J27" s="125"/>
      <c r="K27" s="125"/>
      <c r="L27" s="125"/>
      <c r="M27" s="125"/>
      <c r="N27" s="125"/>
      <c r="O27" s="11" t="s">
        <v>57</v>
      </c>
      <c r="P27" s="11">
        <f>(0.5-IF($D27=$AA39,$D17/20*(2/3),0))*1000*$D$16/(SUMIF($D$9:$M$9,"&gt;100",$P$9:$Y$9)*3600)+0.0000001</f>
        <v>0.2222223222222222</v>
      </c>
      <c r="Q27" s="11">
        <f aca="true" t="shared" si="12" ref="Q27:Y27">(0.5-IF($D27=$AA39,$D17/20*(2/3),0))*1000*$D$16/(SUMIF($D$9:$M$9,"&gt;100",$P$9:$Y$9)*3600)+0.0000001</f>
        <v>0.2222223222222222</v>
      </c>
      <c r="R27" s="11">
        <f t="shared" si="12"/>
        <v>0.2222223222222222</v>
      </c>
      <c r="S27" s="11">
        <f t="shared" si="12"/>
        <v>0.2222223222222222</v>
      </c>
      <c r="T27" s="11">
        <f t="shared" si="12"/>
        <v>0.2222223222222222</v>
      </c>
      <c r="U27" s="11">
        <f t="shared" si="12"/>
        <v>0.2222223222222222</v>
      </c>
      <c r="V27" s="11">
        <f t="shared" si="12"/>
        <v>0.2222223222222222</v>
      </c>
      <c r="W27" s="11">
        <f t="shared" si="12"/>
        <v>0.2222223222222222</v>
      </c>
      <c r="X27" s="11">
        <f t="shared" si="12"/>
        <v>0.2222223222222222</v>
      </c>
      <c r="Y27" s="11">
        <f t="shared" si="12"/>
        <v>0.2222223222222222</v>
      </c>
      <c r="AA27" s="116"/>
      <c r="AB27" s="116"/>
      <c r="AC27" s="116"/>
      <c r="AD27" s="116"/>
      <c r="AV27" s="2"/>
      <c r="AW27" s="2"/>
      <c r="AX27" s="2"/>
      <c r="AY27" s="2"/>
      <c r="AZ27" s="2"/>
      <c r="BA27" s="2"/>
      <c r="BB27" s="2"/>
      <c r="BC27" s="2"/>
      <c r="BD27" s="2"/>
      <c r="BE27" s="2"/>
      <c r="BF27" s="2"/>
      <c r="BG27" s="2"/>
      <c r="BH27" s="2"/>
    </row>
    <row r="28" spans="2:60" ht="30.75" customHeight="1">
      <c r="B28" s="328">
        <f>IF(OR(D27=AA44,D27=AA40,D27=AA41),"Warning! The static R-value is applied for the selected ventilation system or arrangement","")</f>
      </c>
      <c r="C28" s="329"/>
      <c r="D28" s="329"/>
      <c r="E28" s="329"/>
      <c r="F28" s="329"/>
      <c r="G28" s="272"/>
      <c r="H28" s="2" t="s">
        <v>229</v>
      </c>
      <c r="J28" s="125"/>
      <c r="K28" s="125"/>
      <c r="L28" s="125"/>
      <c r="M28" s="125"/>
      <c r="N28" s="125"/>
      <c r="O28" s="172"/>
      <c r="P28" s="172"/>
      <c r="Q28" s="172"/>
      <c r="R28" s="172"/>
      <c r="S28" s="172"/>
      <c r="T28" s="172"/>
      <c r="U28" s="172"/>
      <c r="V28" s="172"/>
      <c r="W28" s="172"/>
      <c r="X28" s="172"/>
      <c r="Y28" s="172"/>
      <c r="AA28" s="116"/>
      <c r="AB28" s="116"/>
      <c r="AC28" s="116"/>
      <c r="AD28" s="116"/>
      <c r="AV28" s="2"/>
      <c r="AW28" s="2"/>
      <c r="AX28" s="2"/>
      <c r="AY28" s="2"/>
      <c r="AZ28" s="2"/>
      <c r="BA28" s="2"/>
      <c r="BB28" s="2"/>
      <c r="BC28" s="2"/>
      <c r="BD28" s="2"/>
      <c r="BE28" s="2"/>
      <c r="BF28" s="2"/>
      <c r="BG28" s="2"/>
      <c r="BH28" s="2"/>
    </row>
    <row r="29" spans="2:60" ht="13.5" customHeight="1">
      <c r="B29" s="276"/>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AA29" s="116"/>
      <c r="AB29" s="116"/>
      <c r="AC29" s="116"/>
      <c r="AE29" s="19"/>
      <c r="AV29" s="2"/>
      <c r="AW29" s="2"/>
      <c r="AX29" s="2"/>
      <c r="AY29" s="2"/>
      <c r="AZ29" s="2"/>
      <c r="BA29" s="2"/>
      <c r="BB29" s="2"/>
      <c r="BC29" s="2"/>
      <c r="BD29" s="2"/>
      <c r="BE29" s="2"/>
      <c r="BF29" s="2"/>
      <c r="BG29" s="2"/>
      <c r="BH29" s="2"/>
    </row>
    <row r="30" spans="2:60" ht="27" customHeight="1">
      <c r="B30" s="337" t="s">
        <v>258</v>
      </c>
      <c r="C30" s="324"/>
      <c r="D30" s="324"/>
      <c r="E30" s="324"/>
      <c r="F30" s="324"/>
      <c r="G30" s="339"/>
      <c r="H30" s="125"/>
      <c r="I30" s="125"/>
      <c r="K30" s="125"/>
      <c r="L30" s="125"/>
      <c r="M30" s="125"/>
      <c r="N30" s="125"/>
      <c r="O30" s="112" t="s">
        <v>81</v>
      </c>
      <c r="P30" s="142">
        <f>D12</f>
        <v>4</v>
      </c>
      <c r="Q30" s="142" t="str">
        <f aca="true" t="shared" si="13" ref="Q30:Y30">E12</f>
        <v>Not used</v>
      </c>
      <c r="R30" s="142" t="str">
        <f t="shared" si="13"/>
        <v>Not used</v>
      </c>
      <c r="S30" s="142" t="str">
        <f t="shared" si="13"/>
        <v>Not used</v>
      </c>
      <c r="T30" s="142" t="str">
        <f t="shared" si="13"/>
        <v>Not used</v>
      </c>
      <c r="U30" s="142" t="str">
        <f t="shared" si="13"/>
        <v>Not used</v>
      </c>
      <c r="V30" s="142" t="str">
        <f t="shared" si="13"/>
        <v>Not used</v>
      </c>
      <c r="W30" s="142" t="str">
        <f t="shared" si="13"/>
        <v>Not used</v>
      </c>
      <c r="X30" s="142" t="str">
        <f t="shared" si="13"/>
        <v>Not used</v>
      </c>
      <c r="Y30" s="142" t="str">
        <f t="shared" si="13"/>
        <v>Not used</v>
      </c>
      <c r="AE30" s="19"/>
      <c r="AV30" s="2"/>
      <c r="AW30" s="2"/>
      <c r="AX30" s="2"/>
      <c r="AY30" s="2"/>
      <c r="AZ30" s="2"/>
      <c r="BA30" s="2"/>
      <c r="BB30" s="2"/>
      <c r="BC30" s="2"/>
      <c r="BD30" s="2"/>
      <c r="BE30" s="2"/>
      <c r="BF30" s="2"/>
      <c r="BG30" s="2"/>
      <c r="BH30" s="2"/>
    </row>
    <row r="31" spans="2:62" ht="45" customHeight="1">
      <c r="B31" s="355" t="s">
        <v>207</v>
      </c>
      <c r="C31" s="356"/>
      <c r="D31" s="351" t="s">
        <v>202</v>
      </c>
      <c r="E31" s="352"/>
      <c r="F31" s="353"/>
      <c r="G31" s="258" t="s">
        <v>201</v>
      </c>
      <c r="H31" s="318">
        <f>IF(D31="No","  Warning! Assessment is invalid as design checklist not complete -  static R-value must be used.","")</f>
      </c>
      <c r="I31" s="319"/>
      <c r="J31" s="319"/>
      <c r="K31" s="319"/>
      <c r="L31" s="319"/>
      <c r="M31" s="319"/>
      <c r="N31" s="320"/>
      <c r="O31" s="113" t="s">
        <v>30</v>
      </c>
      <c r="P31" s="111">
        <f aca="true" t="shared" si="14" ref="P31:Y31">(((P20+(P38*P30))*$AC$15)+((P19+((1-P38)*P30))*$AC$16))/(P19+P30+P20)</f>
        <v>10.72231546061211</v>
      </c>
      <c r="Q31" s="111" t="e">
        <f t="shared" si="14"/>
        <v>#VALUE!</v>
      </c>
      <c r="R31" s="111" t="e">
        <f t="shared" si="14"/>
        <v>#VALUE!</v>
      </c>
      <c r="S31" s="111" t="e">
        <f t="shared" si="14"/>
        <v>#VALUE!</v>
      </c>
      <c r="T31" s="111" t="e">
        <f t="shared" si="14"/>
        <v>#VALUE!</v>
      </c>
      <c r="U31" s="111" t="e">
        <f t="shared" si="14"/>
        <v>#VALUE!</v>
      </c>
      <c r="V31" s="111" t="e">
        <f t="shared" si="14"/>
        <v>#VALUE!</v>
      </c>
      <c r="W31" s="111" t="e">
        <f t="shared" si="14"/>
        <v>#VALUE!</v>
      </c>
      <c r="X31" s="111" t="e">
        <f t="shared" si="14"/>
        <v>#VALUE!</v>
      </c>
      <c r="Y31" s="111" t="e">
        <f t="shared" si="14"/>
        <v>#VALUE!</v>
      </c>
      <c r="Z31" s="19"/>
      <c r="AA31" s="2" t="s">
        <v>58</v>
      </c>
      <c r="AS31" s="2"/>
      <c r="AT31" s="2"/>
      <c r="AV31" s="2"/>
      <c r="AW31" s="2"/>
      <c r="AX31" s="2"/>
      <c r="AY31" s="2"/>
      <c r="AZ31" s="2"/>
      <c r="BA31" s="2"/>
      <c r="BB31" s="2"/>
      <c r="BC31" s="2"/>
      <c r="BD31" s="2"/>
      <c r="BE31" s="2"/>
      <c r="BF31" s="2"/>
      <c r="BG31" s="2"/>
      <c r="BH31" s="2"/>
      <c r="BJ31" s="2"/>
    </row>
    <row r="32" spans="2:62" ht="45" customHeight="1">
      <c r="B32" s="358" t="s">
        <v>208</v>
      </c>
      <c r="C32" s="339"/>
      <c r="D32" s="357" t="s">
        <v>204</v>
      </c>
      <c r="E32" s="352"/>
      <c r="F32" s="353"/>
      <c r="G32" s="85" t="s">
        <v>213</v>
      </c>
      <c r="H32" s="318">
        <f>IF(D32="No","  Warning! Assessment is invalid as design checklist not complete - use the static R-value only.","")</f>
      </c>
      <c r="I32" s="354"/>
      <c r="J32" s="354"/>
      <c r="K32" s="354"/>
      <c r="L32" s="354"/>
      <c r="M32" s="354"/>
      <c r="N32" s="354"/>
      <c r="O32" s="114" t="s">
        <v>77</v>
      </c>
      <c r="P32" s="11">
        <f>VLOOKUP(D9,'Select Material'!$U$11:$Z$203,6,FALSE)</f>
        <v>0.125</v>
      </c>
      <c r="Q32" s="11">
        <f>VLOOKUP(E9,'Select Material'!$U$11:$Z$203,6,FALSE)</f>
        <v>0</v>
      </c>
      <c r="R32" s="11">
        <f>VLOOKUP(F9,'Select Material'!$U$11:$Z$203,6,FALSE)</f>
        <v>0</v>
      </c>
      <c r="S32" s="11">
        <f>VLOOKUP(G9,'Select Material'!$U$11:$Z$203,6,FALSE)</f>
        <v>0</v>
      </c>
      <c r="T32" s="11">
        <f>VLOOKUP(H9,'Select Material'!$U$11:$Z$203,6,FALSE)</f>
        <v>0</v>
      </c>
      <c r="U32" s="11">
        <f>VLOOKUP(I9,'Select Material'!$U$11:$Z$203,6,FALSE)</f>
        <v>0</v>
      </c>
      <c r="V32" s="11">
        <f>VLOOKUP(J9,'Select Material'!$U$11:$Z$203,6,FALSE)</f>
        <v>0</v>
      </c>
      <c r="W32" s="11">
        <f>VLOOKUP(K9,'Select Material'!$U$11:$Z$203,6,FALSE)</f>
        <v>0</v>
      </c>
      <c r="X32" s="11">
        <f>VLOOKUP(L9,'Select Material'!$U$11:$Z$203,6,FALSE)</f>
        <v>0</v>
      </c>
      <c r="Y32" s="11">
        <f>VLOOKUP(M9,'Select Material'!$U$11:$Z$203,6,FALSE)</f>
        <v>0</v>
      </c>
      <c r="AA32" s="72" t="str">
        <f>'Select Material'!Q10</f>
        <v>Uninsulated</v>
      </c>
      <c r="AB32" s="254" t="s">
        <v>202</v>
      </c>
      <c r="AC32" s="254" t="s">
        <v>202</v>
      </c>
      <c r="AP32" s="2"/>
      <c r="AS32" s="2"/>
      <c r="AT32" s="2"/>
      <c r="AV32" s="2"/>
      <c r="AW32" s="2"/>
      <c r="AX32" s="2"/>
      <c r="AY32" s="2"/>
      <c r="AZ32" s="2"/>
      <c r="BA32" s="2"/>
      <c r="BB32" s="2"/>
      <c r="BC32" s="2"/>
      <c r="BD32" s="2"/>
      <c r="BE32" s="2"/>
      <c r="BF32" s="2"/>
      <c r="BG32" s="2"/>
      <c r="BH32" s="2"/>
      <c r="BJ32" s="2"/>
    </row>
    <row r="33" spans="2:62" ht="45" customHeight="1">
      <c r="B33" s="358" t="s">
        <v>261</v>
      </c>
      <c r="C33" s="339"/>
      <c r="D33" s="357" t="s">
        <v>202</v>
      </c>
      <c r="E33" s="352"/>
      <c r="F33" s="353"/>
      <c r="G33" s="271" t="s">
        <v>259</v>
      </c>
      <c r="H33" s="318">
        <f>IF(D33="No","  Warning!  Ψ procedure not adhered to - static R-value must be used.","")</f>
      </c>
      <c r="I33" s="319"/>
      <c r="J33" s="319"/>
      <c r="K33" s="319"/>
      <c r="L33" s="319"/>
      <c r="M33" s="319"/>
      <c r="N33" s="359"/>
      <c r="O33" s="114" t="s">
        <v>78</v>
      </c>
      <c r="P33" s="11">
        <f>VLOOKUP(D9,'Select Material'!$U$11:$Z$203,5,FALSE)+P19+P20</f>
        <v>3.5498171834625323</v>
      </c>
      <c r="Q33" s="11">
        <f>VLOOKUP(E9,'Select Material'!$U$11:$Z$203,5,FALSE)+Q19+Q20</f>
        <v>0</v>
      </c>
      <c r="R33" s="11">
        <f>VLOOKUP(F9,'Select Material'!$U$11:$Z$203,5,FALSE)+R19+R20</f>
        <v>0</v>
      </c>
      <c r="S33" s="11">
        <f>VLOOKUP(G9,'Select Material'!$U$11:$Z$203,5,FALSE)+S19+S20</f>
        <v>0</v>
      </c>
      <c r="T33" s="11">
        <f>VLOOKUP(H9,'Select Material'!$U$11:$Z$203,5,FALSE)+T19+T20</f>
        <v>0</v>
      </c>
      <c r="U33" s="11">
        <f>VLOOKUP(I9,'Select Material'!$U$11:$Z$203,5,FALSE)+U19+U20</f>
        <v>0</v>
      </c>
      <c r="V33" s="11">
        <f>VLOOKUP(J9,'Select Material'!$U$11:$Z$203,5,FALSE)+V19+V20</f>
        <v>0</v>
      </c>
      <c r="W33" s="11">
        <f>VLOOKUP(K9,'Select Material'!$U$11:$Z$203,5,FALSE)+W19+W20</f>
        <v>0</v>
      </c>
      <c r="X33" s="11">
        <f>VLOOKUP(L9,'Select Material'!$U$11:$Z$203,5,FALSE)+X19+X20</f>
        <v>0</v>
      </c>
      <c r="Y33" s="11">
        <f>VLOOKUP(M9,'Select Material'!$U$11:$Z$203,5,FALSE)+Y19+Y20</f>
        <v>0</v>
      </c>
      <c r="AA33" s="73" t="str">
        <f>'Select Material'!R10</f>
        <v>Insulated</v>
      </c>
      <c r="AB33" s="255" t="s">
        <v>203</v>
      </c>
      <c r="AC33" s="255" t="s">
        <v>203</v>
      </c>
      <c r="AP33" s="2"/>
      <c r="AS33" s="2"/>
      <c r="AT33" s="2"/>
      <c r="AV33" s="2"/>
      <c r="AW33" s="2"/>
      <c r="AX33" s="2"/>
      <c r="AY33" s="2"/>
      <c r="AZ33" s="2"/>
      <c r="BA33" s="2"/>
      <c r="BB33" s="2"/>
      <c r="BC33" s="2"/>
      <c r="BD33" s="2"/>
      <c r="BE33" s="2"/>
      <c r="BF33" s="2"/>
      <c r="BG33" s="2"/>
      <c r="BH33" s="2"/>
      <c r="BJ33" s="2"/>
    </row>
    <row r="34" spans="2:62" ht="45" customHeight="1">
      <c r="B34" s="358" t="str">
        <f>IF(Z46&gt;0,"Has the appropriate timber bridging fraction for the construction been subtracted from the ‘active area’ within Box Q04 and also accounted for within the separate dynamic U-value calculation?"," Q12 not required for the selected material(s) - entry ignored")</f>
        <v> Q12 not required for the selected material(s) - entry ignored</v>
      </c>
      <c r="C34" s="339"/>
      <c r="D34" s="357" t="s">
        <v>202</v>
      </c>
      <c r="E34" s="352"/>
      <c r="F34" s="353"/>
      <c r="G34" s="271" t="s">
        <v>260</v>
      </c>
      <c r="H34" s="318">
        <f>IF(OR(Z46=0,AND(D34=AC32,Z46&gt;0)),"","  Warning!  Bridging factor not subracted or not accounted for - static R-value must be used.")</f>
      </c>
      <c r="I34" s="319"/>
      <c r="J34" s="319"/>
      <c r="K34" s="319"/>
      <c r="L34" s="319"/>
      <c r="M34" s="319"/>
      <c r="N34" s="359"/>
      <c r="O34" s="114" t="s">
        <v>79</v>
      </c>
      <c r="P34" s="11">
        <f>1/P33</f>
        <v>0.2817046479629096</v>
      </c>
      <c r="Q34" s="11" t="e">
        <f aca="true" t="shared" si="15" ref="Q34:Y34">1/Q33</f>
        <v>#DIV/0!</v>
      </c>
      <c r="R34" s="11" t="e">
        <f t="shared" si="15"/>
        <v>#DIV/0!</v>
      </c>
      <c r="S34" s="11" t="e">
        <f t="shared" si="15"/>
        <v>#DIV/0!</v>
      </c>
      <c r="T34" s="11" t="e">
        <f t="shared" si="15"/>
        <v>#DIV/0!</v>
      </c>
      <c r="U34" s="11" t="e">
        <f t="shared" si="15"/>
        <v>#DIV/0!</v>
      </c>
      <c r="V34" s="11" t="e">
        <f t="shared" si="15"/>
        <v>#DIV/0!</v>
      </c>
      <c r="W34" s="11" t="e">
        <f t="shared" si="15"/>
        <v>#DIV/0!</v>
      </c>
      <c r="X34" s="11" t="e">
        <f t="shared" si="15"/>
        <v>#DIV/0!</v>
      </c>
      <c r="Y34" s="11" t="e">
        <f t="shared" si="15"/>
        <v>#DIV/0!</v>
      </c>
      <c r="AA34" s="74" t="str">
        <f>'Select Material'!S10</f>
        <v>None exposed</v>
      </c>
      <c r="AB34" s="173" t="s">
        <v>204</v>
      </c>
      <c r="AC34" s="2" t="s">
        <v>266</v>
      </c>
      <c r="AP34" s="2"/>
      <c r="AS34" s="2"/>
      <c r="AT34" s="2"/>
      <c r="AV34" s="2"/>
      <c r="AW34" s="2"/>
      <c r="AX34" s="2"/>
      <c r="AY34" s="2"/>
      <c r="AZ34" s="2"/>
      <c r="BA34" s="2"/>
      <c r="BB34" s="2"/>
      <c r="BC34" s="2"/>
      <c r="BD34" s="2"/>
      <c r="BE34" s="2"/>
      <c r="BF34" s="2"/>
      <c r="BG34" s="2"/>
      <c r="BH34" s="2"/>
      <c r="BJ34" s="2"/>
    </row>
    <row r="35" spans="2:62" ht="39" customHeight="1">
      <c r="B35" s="259"/>
      <c r="C35" s="132"/>
      <c r="D35" s="25"/>
      <c r="O35" s="42" t="s">
        <v>86</v>
      </c>
      <c r="P35" s="137">
        <f aca="true" t="shared" si="16" ref="P35:Y35">IF(OR(D13="EF-HPM"),0.55,0.998)</f>
        <v>0.998</v>
      </c>
      <c r="Q35" s="137">
        <f t="shared" si="16"/>
        <v>0.998</v>
      </c>
      <c r="R35" s="137">
        <f t="shared" si="16"/>
        <v>0.998</v>
      </c>
      <c r="S35" s="137">
        <f t="shared" si="16"/>
        <v>0.998</v>
      </c>
      <c r="T35" s="137">
        <f t="shared" si="16"/>
        <v>0.998</v>
      </c>
      <c r="U35" s="137">
        <f t="shared" si="16"/>
        <v>0.998</v>
      </c>
      <c r="V35" s="137">
        <f t="shared" si="16"/>
        <v>0.998</v>
      </c>
      <c r="W35" s="137">
        <f t="shared" si="16"/>
        <v>0.998</v>
      </c>
      <c r="X35" s="137">
        <f t="shared" si="16"/>
        <v>0.998</v>
      </c>
      <c r="Y35" s="137">
        <f t="shared" si="16"/>
        <v>0.998</v>
      </c>
      <c r="Z35" s="19"/>
      <c r="AA35" s="19"/>
      <c r="AF35" s="78"/>
      <c r="AP35" s="2"/>
      <c r="AS35" s="2"/>
      <c r="AT35" s="2"/>
      <c r="AV35" s="2"/>
      <c r="AW35" s="2"/>
      <c r="AX35" s="2"/>
      <c r="AY35" s="2"/>
      <c r="AZ35" s="2"/>
      <c r="BA35" s="2"/>
      <c r="BB35" s="2"/>
      <c r="BC35" s="2"/>
      <c r="BD35" s="2"/>
      <c r="BE35" s="2"/>
      <c r="BF35" s="2"/>
      <c r="BG35" s="2"/>
      <c r="BH35" s="2"/>
      <c r="BJ35" s="2"/>
    </row>
    <row r="36" spans="2:62" ht="46.5" customHeight="1">
      <c r="B36" s="337" t="s">
        <v>211</v>
      </c>
      <c r="C36" s="324"/>
      <c r="D36" s="324"/>
      <c r="E36" s="324"/>
      <c r="F36" s="324"/>
      <c r="G36" s="324"/>
      <c r="H36" s="340"/>
      <c r="I36" s="324"/>
      <c r="J36" s="324"/>
      <c r="K36" s="324"/>
      <c r="L36" s="324"/>
      <c r="M36" s="339"/>
      <c r="O36" s="110" t="s">
        <v>54</v>
      </c>
      <c r="P36" s="11">
        <f aca="true" t="shared" si="17" ref="P36:Y36">IF(P15&gt;0.001,(1+(1-P35)*P32),1)</f>
        <v>1.00025</v>
      </c>
      <c r="Q36" s="11">
        <f t="shared" si="17"/>
        <v>1</v>
      </c>
      <c r="R36" s="11">
        <f t="shared" si="17"/>
        <v>1</v>
      </c>
      <c r="S36" s="11">
        <f t="shared" si="17"/>
        <v>1</v>
      </c>
      <c r="T36" s="11">
        <f t="shared" si="17"/>
        <v>1</v>
      </c>
      <c r="U36" s="11">
        <f t="shared" si="17"/>
        <v>1</v>
      </c>
      <c r="V36" s="11">
        <f t="shared" si="17"/>
        <v>1</v>
      </c>
      <c r="W36" s="11">
        <f t="shared" si="17"/>
        <v>1</v>
      </c>
      <c r="X36" s="11">
        <f t="shared" si="17"/>
        <v>1</v>
      </c>
      <c r="Y36" s="11">
        <f t="shared" si="17"/>
        <v>1</v>
      </c>
      <c r="AA36" s="72" t="str">
        <f>'Select Material'!M10</f>
        <v>On-site</v>
      </c>
      <c r="AE36" s="20"/>
      <c r="AF36" s="20"/>
      <c r="AP36" s="2"/>
      <c r="AS36" s="2"/>
      <c r="AT36" s="2"/>
      <c r="AV36" s="2"/>
      <c r="AW36" s="2"/>
      <c r="AX36" s="2"/>
      <c r="AY36" s="2"/>
      <c r="AZ36" s="2"/>
      <c r="BA36" s="2"/>
      <c r="BB36" s="2"/>
      <c r="BC36" s="2"/>
      <c r="BD36" s="2"/>
      <c r="BE36" s="2"/>
      <c r="BF36" s="2"/>
      <c r="BG36" s="2"/>
      <c r="BH36" s="2"/>
      <c r="BJ36" s="2"/>
    </row>
    <row r="37" spans="2:62" ht="32.25" customHeight="1">
      <c r="B37" s="341" t="s">
        <v>111</v>
      </c>
      <c r="C37" s="342"/>
      <c r="D37" s="162" t="s">
        <v>100</v>
      </c>
      <c r="E37" s="162" t="s">
        <v>101</v>
      </c>
      <c r="F37" s="162" t="s">
        <v>102</v>
      </c>
      <c r="G37" s="162" t="s">
        <v>103</v>
      </c>
      <c r="H37" s="162" t="s">
        <v>104</v>
      </c>
      <c r="I37" s="162" t="s">
        <v>105</v>
      </c>
      <c r="J37" s="162" t="s">
        <v>106</v>
      </c>
      <c r="K37" s="162" t="s">
        <v>107</v>
      </c>
      <c r="L37" s="162" t="s">
        <v>108</v>
      </c>
      <c r="M37" s="162" t="s">
        <v>109</v>
      </c>
      <c r="N37" s="155"/>
      <c r="O37" s="11" t="s">
        <v>55</v>
      </c>
      <c r="P37" s="11">
        <f aca="true" t="shared" si="18" ref="P37:Y37">IF(P15&gt;0.001,((1-P35)*P34*P32),0)</f>
        <v>7.042616199072747E-05</v>
      </c>
      <c r="Q37" s="11">
        <f t="shared" si="18"/>
        <v>0</v>
      </c>
      <c r="R37" s="11">
        <f t="shared" si="18"/>
        <v>0</v>
      </c>
      <c r="S37" s="11">
        <f t="shared" si="18"/>
        <v>0</v>
      </c>
      <c r="T37" s="11">
        <f t="shared" si="18"/>
        <v>0</v>
      </c>
      <c r="U37" s="11">
        <f t="shared" si="18"/>
        <v>0</v>
      </c>
      <c r="V37" s="11">
        <f t="shared" si="18"/>
        <v>0</v>
      </c>
      <c r="W37" s="11">
        <f t="shared" si="18"/>
        <v>0</v>
      </c>
      <c r="X37" s="11">
        <f t="shared" si="18"/>
        <v>0</v>
      </c>
      <c r="Y37" s="11">
        <f t="shared" si="18"/>
        <v>0</v>
      </c>
      <c r="AA37" s="74" t="str">
        <f>'Select Material'!N10</f>
        <v>Off-site</v>
      </c>
      <c r="AE37" s="20"/>
      <c r="AP37" s="2"/>
      <c r="AS37" s="2"/>
      <c r="AT37" s="2"/>
      <c r="AV37" s="2"/>
      <c r="AW37" s="2"/>
      <c r="AX37" s="2"/>
      <c r="AY37" s="2"/>
      <c r="AZ37" s="2"/>
      <c r="BA37" s="2"/>
      <c r="BB37" s="2"/>
      <c r="BC37" s="2"/>
      <c r="BD37" s="2"/>
      <c r="BE37" s="2"/>
      <c r="BF37" s="2"/>
      <c r="BG37" s="2"/>
      <c r="BH37" s="2"/>
      <c r="BJ37" s="2"/>
    </row>
    <row r="38" spans="2:62" ht="42.75" customHeight="1">
      <c r="B38" s="361" t="s">
        <v>3</v>
      </c>
      <c r="C38" s="339"/>
      <c r="D38" s="237">
        <f>'Construction Layers'!C10</f>
        <v>0.37381718346253234</v>
      </c>
      <c r="E38" s="237">
        <f>'Construction Layers'!D10</f>
        <v>0</v>
      </c>
      <c r="F38" s="237">
        <f>'Construction Layers'!E10</f>
        <v>0</v>
      </c>
      <c r="G38" s="237">
        <f>'Construction Layers'!F10</f>
        <v>0</v>
      </c>
      <c r="H38" s="237">
        <f>'Construction Layers'!G10</f>
        <v>0</v>
      </c>
      <c r="I38" s="237">
        <f>'Construction Layers'!H10</f>
        <v>0</v>
      </c>
      <c r="J38" s="237">
        <f>'Construction Layers'!I10</f>
        <v>0</v>
      </c>
      <c r="K38" s="237">
        <f>'Construction Layers'!J10</f>
        <v>0</v>
      </c>
      <c r="L38" s="237">
        <f>'Construction Layers'!K10</f>
        <v>0</v>
      </c>
      <c r="M38" s="237">
        <f>'Construction Layers'!L10</f>
        <v>0</v>
      </c>
      <c r="N38" s="168"/>
      <c r="O38" s="119" t="s">
        <v>29</v>
      </c>
      <c r="P38" s="120">
        <f>IF(D13="XS-CHA",VLOOKUP(D9,'Select Material'!$U$11:$Z$203,2,FALSE),"")</f>
        <v>0.3</v>
      </c>
      <c r="Q38" s="120">
        <f>IF(E13="XS-CHA",VLOOKUP(E9,'Select Material'!$U$11:$Z$203,2,FALSE),"")</f>
      </c>
      <c r="R38" s="120">
        <f>IF(F13="XS-CHA",VLOOKUP(F9,'Select Material'!$U$11:$Z$203,2,FALSE),"")</f>
      </c>
      <c r="S38" s="120">
        <f>IF(G13="XS-CHA",VLOOKUP(G9,'Select Material'!$U$11:$Z$203,2,FALSE),"")</f>
      </c>
      <c r="T38" s="120">
        <f>IF(H13="XS-CHA",VLOOKUP(H9,'Select Material'!$U$11:$Z$203,2,FALSE),"")</f>
      </c>
      <c r="U38" s="120">
        <f>IF(I13="XS-CHA",VLOOKUP(I9,'Select Material'!$U$11:$Z$203,2,FALSE),"")</f>
      </c>
      <c r="V38" s="120">
        <f>IF(J13="XS-CHA",VLOOKUP(J9,'Select Material'!$U$11:$Z$203,2,FALSE),"")</f>
      </c>
      <c r="W38" s="120">
        <f>IF(K13="XS-CHA",VLOOKUP(K9,'Select Material'!$U$11:$Z$203,2,FALSE),"")</f>
      </c>
      <c r="X38" s="120">
        <f>IF(L13="XS-CHA",VLOOKUP(L9,'Select Material'!$U$11:$Z$203,2,FALSE),"")</f>
      </c>
      <c r="Y38" s="120">
        <f>IF(M13="XS-CHA",VLOOKUP(M9,'Select Material'!$U$11:$Z$203,2,FALSE),"")</f>
      </c>
      <c r="Z38" s="134"/>
      <c r="AA38" s="19"/>
      <c r="AS38" s="2"/>
      <c r="AT38" s="2"/>
      <c r="AV38" s="2"/>
      <c r="AW38" s="2"/>
      <c r="AX38" s="2"/>
      <c r="AY38" s="2"/>
      <c r="AZ38" s="2"/>
      <c r="BA38" s="2"/>
      <c r="BB38" s="2"/>
      <c r="BC38" s="2"/>
      <c r="BD38" s="2"/>
      <c r="BE38" s="2"/>
      <c r="BF38" s="2"/>
      <c r="BG38" s="2"/>
      <c r="BH38" s="2"/>
      <c r="BJ38" s="2"/>
    </row>
    <row r="39" spans="1:60" ht="36.75" customHeight="1">
      <c r="A39" s="46"/>
      <c r="B39" s="361" t="s">
        <v>2</v>
      </c>
      <c r="C39" s="339"/>
      <c r="D39" s="237">
        <f>'Construction Layers'!C52</f>
        <v>0.17600000000000002</v>
      </c>
      <c r="E39" s="237">
        <f>'Construction Layers'!D52</f>
        <v>0</v>
      </c>
      <c r="F39" s="237">
        <f>'Construction Layers'!E52</f>
        <v>0</v>
      </c>
      <c r="G39" s="237">
        <f>'Construction Layers'!F52</f>
        <v>0</v>
      </c>
      <c r="H39" s="237">
        <f>'Construction Layers'!G52</f>
        <v>0</v>
      </c>
      <c r="I39" s="237">
        <f>'Construction Layers'!H52</f>
        <v>0</v>
      </c>
      <c r="J39" s="237">
        <f>'Construction Layers'!I52</f>
        <v>0</v>
      </c>
      <c r="K39" s="237">
        <f>'Construction Layers'!J52</f>
        <v>0</v>
      </c>
      <c r="L39" s="237">
        <f>'Construction Layers'!K52</f>
        <v>0</v>
      </c>
      <c r="M39" s="237">
        <f>'Construction Layers'!L52</f>
        <v>0</v>
      </c>
      <c r="O39" s="113" t="s">
        <v>74</v>
      </c>
      <c r="P39" s="120">
        <f>IF(D13="XS-CHA",VLOOKUP(D9,'Select Material'!$U$11:$Z$203,3,FALSE),"")</f>
        <v>0.02</v>
      </c>
      <c r="Q39" s="120">
        <f>IF(E13="XS-CHA",VLOOKUP(E9,'Select Material'!$U$11:$Z$203,3,FALSE),"")</f>
      </c>
      <c r="R39" s="120">
        <f>IF(F13="XS-CHA",VLOOKUP(F9,'Select Material'!$U$11:$Z$203,3,FALSE),"")</f>
      </c>
      <c r="S39" s="120">
        <f>IF(G13="XS-CHA",VLOOKUP(G9,'Select Material'!$U$11:$Z$203,3,FALSE),"")</f>
      </c>
      <c r="T39" s="120">
        <f>IF(H13="XS-CHA",VLOOKUP(H9,'Select Material'!$U$11:$Z$203,3,FALSE),"")</f>
      </c>
      <c r="U39" s="120">
        <f>IF(I13="XS-CHA",VLOOKUP(I9,'Select Material'!$U$11:$Z$203,3,FALSE),"")</f>
      </c>
      <c r="V39" s="120">
        <f>IF(J13="XS-CHA",VLOOKUP(J9,'Select Material'!$U$11:$Z$203,3,FALSE),"")</f>
      </c>
      <c r="W39" s="120">
        <f>IF(K13="XS-CHA",VLOOKUP(K9,'Select Material'!$U$11:$Z$203,3,FALSE),"")</f>
      </c>
      <c r="X39" s="120">
        <f>IF(L13="XS-CHA",VLOOKUP(L9,'Select Material'!$U$11:$Z$203,3,FALSE),"")</f>
      </c>
      <c r="Y39" s="120">
        <f>IF(M13="XS-CHA",VLOOKUP(M9,'Select Material'!$U$11:$Z$203,3,FALSE),"")</f>
      </c>
      <c r="Z39" s="134"/>
      <c r="AA39" s="72" t="s">
        <v>227</v>
      </c>
      <c r="AE39" s="46"/>
      <c r="AF39" s="83"/>
      <c r="AG39" s="46"/>
      <c r="AN39" s="10"/>
      <c r="AO39" s="50"/>
      <c r="AP39" s="50"/>
      <c r="AQ39" s="50"/>
      <c r="AR39" s="50"/>
      <c r="AS39" s="50"/>
      <c r="AT39" s="1"/>
      <c r="AV39" s="2"/>
      <c r="AW39" s="2"/>
      <c r="AX39" s="2"/>
      <c r="AY39" s="2"/>
      <c r="AZ39" s="2"/>
      <c r="BA39" s="2"/>
      <c r="BB39" s="2"/>
      <c r="BC39" s="2"/>
      <c r="BD39" s="2"/>
      <c r="BE39" s="2"/>
      <c r="BF39" s="2"/>
      <c r="BG39" s="2"/>
      <c r="BH39" s="2"/>
    </row>
    <row r="40" spans="1:60" ht="39.75" customHeight="1">
      <c r="A40" s="46"/>
      <c r="O40" s="11" t="s">
        <v>82</v>
      </c>
      <c r="P40" s="121">
        <f>IF($D$25='Select Material'!$M$10,VLOOKUP(D9,'Select Material'!$B$11:$S$203,12,FALSE),IF($D$25='Select Material'!$N$10,VLOOKUP(D9,'Select Material'!$B$11:$S$203,13,FALSE),0))</f>
        <v>0.95</v>
      </c>
      <c r="Q40" s="121">
        <f>IF($D$25='Select Material'!$M$10,VLOOKUP(E9,'Select Material'!$B$11:$S$203,12,FALSE),IF($D$25='Select Material'!$N$10,VLOOKUP(E9,'Select Material'!$B$11:$S$203,13,FALSE),0))</f>
        <v>0</v>
      </c>
      <c r="R40" s="121">
        <f>IF($D$25='Select Material'!$M$10,VLOOKUP(F9,'Select Material'!$B$11:$S$203,12,FALSE),IF($D$25='Select Material'!$N$10,VLOOKUP(F9,'Select Material'!$B$11:$S$203,13,FALSE),0))</f>
        <v>0</v>
      </c>
      <c r="S40" s="121">
        <f>IF($D$25='Select Material'!$M$10,VLOOKUP(G9,'Select Material'!$B$11:$S$203,12,FALSE),IF($D$25='Select Material'!$N$10,VLOOKUP(G9,'Select Material'!$B$11:$S$203,13,FALSE),0))</f>
        <v>0</v>
      </c>
      <c r="T40" s="121">
        <f>IF($D$25='Select Material'!$M$10,VLOOKUP(H9,'Select Material'!$B$11:$S$203,12,FALSE),IF($D$25='Select Material'!$N$10,VLOOKUP(H9,'Select Material'!$B$11:$S$203,13,FALSE),0))</f>
        <v>0</v>
      </c>
      <c r="U40" s="121">
        <f>IF($D$25='Select Material'!$M$10,VLOOKUP(I9,'Select Material'!$B$11:$S$203,12,FALSE),IF($D$25='Select Material'!$N$10,VLOOKUP(I9,'Select Material'!$B$11:$S$203,13,FALSE),0))</f>
        <v>0</v>
      </c>
      <c r="V40" s="121">
        <f>IF($D$25='Select Material'!$M$10,VLOOKUP(J9,'Select Material'!$B$11:$S$203,12,FALSE),IF($D$25='Select Material'!$N$10,VLOOKUP(J9,'Select Material'!$B$11:$S$203,13,FALSE),0))</f>
        <v>0</v>
      </c>
      <c r="W40" s="121">
        <f>IF($D$25='Select Material'!$M$10,VLOOKUP(K9,'Select Material'!$B$11:$S$203,12,FALSE),IF($D$25='Select Material'!$N$10,VLOOKUP(K9,'Select Material'!$B$11:$S$203,13,FALSE),0))</f>
        <v>0</v>
      </c>
      <c r="X40" s="121">
        <f>IF($D$25='Select Material'!$M$10,VLOOKUP(L9,'Select Material'!$B$11:$S$203,12,FALSE),IF($D$25='Select Material'!$N$10,VLOOKUP(L9,'Select Material'!$B$11:$S$203,13,FALSE),0))</f>
        <v>0</v>
      </c>
      <c r="Y40" s="121">
        <f>IF($D$25='Select Material'!$M$10,VLOOKUP(M9,'Select Material'!$B$11:$S$203,12,FALSE),IF($D$25='Select Material'!$N$10,VLOOKUP(M9,'Select Material'!$B$11:$S$203,13,FALSE),0))</f>
        <v>0</v>
      </c>
      <c r="AA40" s="72" t="s">
        <v>228</v>
      </c>
      <c r="AF40" s="49"/>
      <c r="AG40" s="46"/>
      <c r="AO40" s="16"/>
      <c r="AP40" s="51"/>
      <c r="AQ40" s="51"/>
      <c r="AR40" s="51"/>
      <c r="AS40" s="51"/>
      <c r="AT40" s="51"/>
      <c r="AV40" s="2"/>
      <c r="AW40" s="2"/>
      <c r="AX40" s="2"/>
      <c r="AY40" s="2"/>
      <c r="AZ40" s="2"/>
      <c r="BA40" s="2"/>
      <c r="BB40" s="2"/>
      <c r="BC40" s="2"/>
      <c r="BD40" s="2"/>
      <c r="BE40" s="2"/>
      <c r="BF40" s="2"/>
      <c r="BG40" s="2"/>
      <c r="BH40" s="2"/>
    </row>
    <row r="41" spans="1:60" ht="74.25" customHeight="1">
      <c r="A41" s="46"/>
      <c r="B41" s="337" t="s">
        <v>212</v>
      </c>
      <c r="C41" s="324"/>
      <c r="D41" s="324"/>
      <c r="E41" s="324"/>
      <c r="F41" s="324"/>
      <c r="G41" s="324"/>
      <c r="H41" s="340"/>
      <c r="I41" s="324"/>
      <c r="J41" s="324"/>
      <c r="K41" s="324"/>
      <c r="L41" s="324"/>
      <c r="M41" s="339"/>
      <c r="O41" s="11" t="s">
        <v>83</v>
      </c>
      <c r="P41" s="121">
        <f>IF($D$27=$AA$39,VLOOKUP(D9,'Select Material'!$B$11:S$203,14,FALSE),VLOOKUP(D9,'Select Material'!$B$11:S$203,15,FALSE))</f>
        <v>0.98</v>
      </c>
      <c r="Q41" s="121">
        <f>IF($D$27=$AA$39,VLOOKUP(E9,'Select Material'!$B$11:T$203,14,FALSE),VLOOKUP(E9,'Select Material'!$B$11:T$203,15,FALSE))</f>
        <v>0</v>
      </c>
      <c r="R41" s="121">
        <f>IF($D$27=$AA$39,VLOOKUP(F9,'Select Material'!$B$11:U$203,14,FALSE),VLOOKUP(F9,'Select Material'!$B$11:U$203,15,FALSE))</f>
        <v>0</v>
      </c>
      <c r="S41" s="121">
        <f>IF($D$27=$AA$39,VLOOKUP(G9,'Select Material'!$B$11:V$203,14,FALSE),VLOOKUP(G9,'Select Material'!$B$11:V$203,15,FALSE))</f>
        <v>0</v>
      </c>
      <c r="T41" s="121">
        <f>IF($D$27=$AA$39,VLOOKUP(H9,'Select Material'!$B$11:W$203,14,FALSE),VLOOKUP(H9,'Select Material'!$B$11:W$203,15,FALSE))</f>
        <v>0</v>
      </c>
      <c r="U41" s="121">
        <f>IF($D$27=$AA$39,VLOOKUP(I9,'Select Material'!$B$11:X$203,14,FALSE),VLOOKUP(I9,'Select Material'!$B$11:X$203,15,FALSE))</f>
        <v>0</v>
      </c>
      <c r="V41" s="121">
        <f>IF($D$27=$AA$39,VLOOKUP(J9,'Select Material'!$B$11:Y$203,14,FALSE),VLOOKUP(J9,'Select Material'!$B$11:Y$203,15,FALSE))</f>
        <v>0</v>
      </c>
      <c r="W41" s="121">
        <f>IF($D$27=$AA$39,VLOOKUP(K9,'Select Material'!$B$11:Z$203,14,FALSE),VLOOKUP(K9,'Select Material'!$B$11:Z$203,15,FALSE))</f>
        <v>0</v>
      </c>
      <c r="X41" s="121">
        <f>IF($D$27=$AA$39,VLOOKUP(L9,'Select Material'!$B$11:AA$203,14,FALSE),VLOOKUP(L9,'Select Material'!$B$11:AA$203,15,FALSE))</f>
        <v>0</v>
      </c>
      <c r="Y41" s="121">
        <f>IF($D$27=$AA$39,VLOOKUP(M9,'Select Material'!$B$11:AB$203,14,FALSE),VLOOKUP(M9,'Select Material'!$B$11:AB$203,15,FALSE))</f>
        <v>0</v>
      </c>
      <c r="AA41" s="73" t="s">
        <v>153</v>
      </c>
      <c r="AO41" s="52"/>
      <c r="AP41" s="52"/>
      <c r="AQ41" s="52"/>
      <c r="AR41" s="52"/>
      <c r="AS41" s="52"/>
      <c r="AT41" s="52"/>
      <c r="AV41" s="2"/>
      <c r="AW41" s="2"/>
      <c r="AX41" s="2"/>
      <c r="AY41" s="2"/>
      <c r="AZ41" s="2"/>
      <c r="BA41" s="2"/>
      <c r="BB41" s="2"/>
      <c r="BC41" s="2"/>
      <c r="BD41" s="2"/>
      <c r="BE41" s="2"/>
      <c r="BF41" s="2"/>
      <c r="BG41" s="2"/>
      <c r="BH41" s="2"/>
    </row>
    <row r="42" spans="1:60" ht="33" customHeight="1">
      <c r="A42" s="46"/>
      <c r="B42" s="347" t="s">
        <v>111</v>
      </c>
      <c r="C42" s="348"/>
      <c r="D42" s="162" t="s">
        <v>100</v>
      </c>
      <c r="E42" s="162" t="s">
        <v>101</v>
      </c>
      <c r="F42" s="162" t="s">
        <v>102</v>
      </c>
      <c r="G42" s="162" t="s">
        <v>103</v>
      </c>
      <c r="H42" s="162" t="s">
        <v>104</v>
      </c>
      <c r="I42" s="162" t="s">
        <v>105</v>
      </c>
      <c r="J42" s="162" t="s">
        <v>106</v>
      </c>
      <c r="K42" s="162" t="s">
        <v>107</v>
      </c>
      <c r="L42" s="162" t="s">
        <v>108</v>
      </c>
      <c r="M42" s="162" t="s">
        <v>109</v>
      </c>
      <c r="O42" s="11" t="s">
        <v>84</v>
      </c>
      <c r="P42" s="121">
        <f>IF($D$26=$AA$32,VLOOKUP(D9,'Select Material'!$B$11:$S$203,16,FALSE),0)+IF($D$26=$AA$33,VLOOKUP(D9,'Select Material'!$B$11:$S$203,17,FALSE),0)+IF($D$26=$AA$34,VLOOKUP(D9,'Select Material'!$B$11:$S$203,18,FALSE),0)</f>
        <v>0.8</v>
      </c>
      <c r="Q42" s="121">
        <f>IF($D$26=$AA$32,VLOOKUP(E9,'Select Material'!$B$11:$S$203,16,FALSE),0)+IF($D$26=$AA$33,VLOOKUP(E9,'Select Material'!$B$11:$S$203,17,FALSE),0)+IF($D$26=$AA$34,VLOOKUP(E9,'Select Material'!$B$11:$S$203,18,FALSE),0)</f>
        <v>0</v>
      </c>
      <c r="R42" s="121">
        <f>IF($D$26=$AA$32,VLOOKUP(F9,'Select Material'!$B$11:$S$203,16,FALSE),0)+IF($D$26=$AA$33,VLOOKUP(F9,'Select Material'!$B$11:$S$203,17,FALSE),0)+IF($D$26=$AA$34,VLOOKUP(F9,'Select Material'!$B$11:$S$203,18,FALSE),0)</f>
        <v>0</v>
      </c>
      <c r="S42" s="121">
        <f>IF($D$26=$AA$32,VLOOKUP(G9,'Select Material'!$B$11:$S$203,16,FALSE),0)+IF($D$26=$AA$33,VLOOKUP(G9,'Select Material'!$B$11:$S$203,17,FALSE),0)+IF($D$26=$AA$34,VLOOKUP(G9,'Select Material'!$B$11:$S$203,18,FALSE),0)</f>
        <v>0</v>
      </c>
      <c r="T42" s="121">
        <f>IF($D$26=$AA$32,VLOOKUP(H9,'Select Material'!$B$11:$S$203,16,FALSE),0)+IF($D$26=$AA$33,VLOOKUP(H9,'Select Material'!$B$11:$S$203,17,FALSE),0)+IF($D$26=$AA$34,VLOOKUP(H9,'Select Material'!$B$11:$S$203,18,FALSE),0)</f>
        <v>0</v>
      </c>
      <c r="U42" s="121">
        <f>IF($D$26=$AA$32,VLOOKUP(I9,'Select Material'!$B$11:$S$203,16,FALSE),0)+IF($D$26=$AA$33,VLOOKUP(I9,'Select Material'!$B$11:$S$203,17,FALSE),0)+IF($D$26=$AA$34,VLOOKUP(I9,'Select Material'!$B$11:$S$203,18,FALSE),0)</f>
        <v>0</v>
      </c>
      <c r="V42" s="121">
        <f>IF($D$26=$AA$32,VLOOKUP(J9,'Select Material'!$B$11:$S$203,16,FALSE),0)+IF($D$26=$AA$33,VLOOKUP(J9,'Select Material'!$B$11:$S$203,17,FALSE),0)+IF($D$26=$AA$34,VLOOKUP(J9,'Select Material'!$B$11:$S$203,18,FALSE),0)</f>
        <v>0</v>
      </c>
      <c r="W42" s="121">
        <f>IF($D$26=$AA$32,VLOOKUP(K9,'Select Material'!$B$11:$S$203,16,FALSE),0)+IF($D$26=$AA$33,VLOOKUP(K9,'Select Material'!$B$11:$S$203,17,FALSE),0)+IF($D$26=$AA$34,VLOOKUP(K9,'Select Material'!$B$11:$S$203,18,FALSE),0)</f>
        <v>0</v>
      </c>
      <c r="X42" s="121">
        <f>IF($D$26=$AA$32,VLOOKUP(L9,'Select Material'!$B$11:$S$203,16,FALSE),0)+IF($D$26=$AA$33,VLOOKUP(L9,'Select Material'!$B$11:$S$203,17,FALSE),0)+IF($D$26=$AA$34,VLOOKUP(L9,'Select Material'!$B$11:$S$203,18,FALSE),0)</f>
        <v>0</v>
      </c>
      <c r="Y42" s="121">
        <f>IF($D$26=$AA$32,VLOOKUP(M9,'Select Material'!$B$11:$S$203,16,FALSE),0)+IF($D$26=$AA$33,VLOOKUP(M9,'Select Material'!$B$11:$S$203,17,FALSE),0)+IF($D$26=$AA$34,VLOOKUP(M9,'Select Material'!$B$11:$S$203,18,FALSE),0)</f>
        <v>0</v>
      </c>
      <c r="AA42" s="73" t="s">
        <v>128</v>
      </c>
      <c r="AN42" s="56"/>
      <c r="AO42" s="57"/>
      <c r="AP42" s="57"/>
      <c r="AQ42" s="57"/>
      <c r="AR42" s="57"/>
      <c r="AS42" s="57"/>
      <c r="AT42" s="1"/>
      <c r="AV42" s="2"/>
      <c r="AW42" s="2"/>
      <c r="AX42" s="2"/>
      <c r="AY42" s="2"/>
      <c r="AZ42" s="2"/>
      <c r="BA42" s="2"/>
      <c r="BB42" s="2"/>
      <c r="BC42" s="2"/>
      <c r="BD42" s="2"/>
      <c r="BE42" s="2"/>
      <c r="BF42" s="2"/>
      <c r="BG42" s="2"/>
      <c r="BH42" s="2"/>
    </row>
    <row r="43" spans="1:46" ht="33" customHeight="1">
      <c r="A43" s="46"/>
      <c r="B43" s="146"/>
      <c r="C43" s="108"/>
      <c r="D43" s="85" t="s">
        <v>267</v>
      </c>
      <c r="E43" s="85" t="s">
        <v>268</v>
      </c>
      <c r="F43" s="85" t="s">
        <v>269</v>
      </c>
      <c r="G43" s="85" t="s">
        <v>270</v>
      </c>
      <c r="H43" s="85" t="s">
        <v>271</v>
      </c>
      <c r="I43" s="85" t="s">
        <v>272</v>
      </c>
      <c r="J43" s="85" t="s">
        <v>273</v>
      </c>
      <c r="K43" s="85" t="s">
        <v>274</v>
      </c>
      <c r="L43" s="85" t="s">
        <v>275</v>
      </c>
      <c r="M43" s="271" t="s">
        <v>276</v>
      </c>
      <c r="O43" s="2" t="s">
        <v>62</v>
      </c>
      <c r="P43" s="190">
        <f aca="true" t="shared" si="19" ref="P43:Y43">IF(P9=0,"",(D44-D12)/D12)</f>
        <v>0.28130201625010653</v>
      </c>
      <c r="Q43" s="190">
        <f t="shared" si="19"/>
      </c>
      <c r="R43" s="190">
        <f t="shared" si="19"/>
      </c>
      <c r="S43" s="190">
        <f t="shared" si="19"/>
      </c>
      <c r="T43" s="190">
        <f t="shared" si="19"/>
      </c>
      <c r="U43" s="190">
        <f t="shared" si="19"/>
      </c>
      <c r="V43" s="190">
        <f t="shared" si="19"/>
      </c>
      <c r="W43" s="190">
        <f t="shared" si="19"/>
      </c>
      <c r="X43" s="190">
        <f t="shared" si="19"/>
      </c>
      <c r="Y43" s="190">
        <f t="shared" si="19"/>
      </c>
      <c r="AA43" s="73" t="s">
        <v>226</v>
      </c>
      <c r="AN43" s="56"/>
      <c r="AO43" s="57"/>
      <c r="AP43" s="57"/>
      <c r="AQ43" s="57"/>
      <c r="AR43" s="57"/>
      <c r="AS43" s="57"/>
      <c r="AT43" s="1"/>
    </row>
    <row r="44" spans="1:46" ht="33" customHeight="1">
      <c r="A44" s="46"/>
      <c r="B44" s="362" t="s">
        <v>11</v>
      </c>
      <c r="C44" s="363"/>
      <c r="D44" s="174">
        <f aca="true" t="shared" si="20" ref="D44:M44">IF(AND(OR($D$27=$AA$44,$D$27=$AA$41,$D$27=$AA$40),D9&gt;100,$P$45,P44),D12,0)+IF(AND(D9&gt;100,$P$45,P44,D13="XS-CHA",$D$27&lt;&gt;$AA$44,$D$27&lt;&gt;$AA$41,$D$27&lt;&gt;$AA$40),P26,0)+IF(AND(D9&gt;100,$P$45,P44,D13="EF-HPM",$D$27&lt;&gt;$AA$44,$D$27&lt;&gt;$AA$41,$D$27&lt;&gt;$AA$40),P14,0)</f>
        <v>5.125208065000426</v>
      </c>
      <c r="E44" s="174">
        <f t="shared" si="20"/>
        <v>0</v>
      </c>
      <c r="F44" s="174">
        <f t="shared" si="20"/>
        <v>0</v>
      </c>
      <c r="G44" s="174">
        <f t="shared" si="20"/>
        <v>0</v>
      </c>
      <c r="H44" s="174">
        <f t="shared" si="20"/>
        <v>0</v>
      </c>
      <c r="I44" s="174">
        <f t="shared" si="20"/>
        <v>0</v>
      </c>
      <c r="J44" s="174">
        <f t="shared" si="20"/>
        <v>0</v>
      </c>
      <c r="K44" s="174">
        <f t="shared" si="20"/>
        <v>0</v>
      </c>
      <c r="L44" s="174">
        <f t="shared" si="20"/>
        <v>0</v>
      </c>
      <c r="M44" s="174">
        <f t="shared" si="20"/>
        <v>0</v>
      </c>
      <c r="O44" s="154" t="s">
        <v>119</v>
      </c>
      <c r="P44" s="109" t="b">
        <f aca="true" t="shared" si="21" ref="P44:Y44">IF(OR(D13="EF-HPM"),COUNTIF(D21,"&gt;=0")+COUNTIF(D22,"&gt;=0")+COUNTIF(D38:D39,"&gt;0")+COUNTIF(D9,"&gt;100")=5,COUNTIF(D21,"&gt;=0")+COUNTIF(D22,"&gt;=0")+COUNTIF(D38:D39,"&gt;0")+COUNTIF(D9,"&gt;100")+COUNTIF(P9,"&gt;0")=6)</f>
        <v>1</v>
      </c>
      <c r="Q44" s="109" t="b">
        <f t="shared" si="21"/>
        <v>0</v>
      </c>
      <c r="R44" s="109" t="b">
        <f t="shared" si="21"/>
        <v>0</v>
      </c>
      <c r="S44" s="109" t="b">
        <f t="shared" si="21"/>
        <v>0</v>
      </c>
      <c r="T44" s="109" t="b">
        <f t="shared" si="21"/>
        <v>0</v>
      </c>
      <c r="U44" s="109" t="b">
        <f t="shared" si="21"/>
        <v>0</v>
      </c>
      <c r="V44" s="109" t="b">
        <f t="shared" si="21"/>
        <v>0</v>
      </c>
      <c r="W44" s="109" t="b">
        <f t="shared" si="21"/>
        <v>0</v>
      </c>
      <c r="X44" s="109" t="b">
        <f t="shared" si="21"/>
        <v>0</v>
      </c>
      <c r="Y44" s="109" t="b">
        <f t="shared" si="21"/>
        <v>0</v>
      </c>
      <c r="AA44" s="173" t="s">
        <v>113</v>
      </c>
      <c r="AM44" s="18"/>
      <c r="AN44" s="56"/>
      <c r="AO44" s="57"/>
      <c r="AP44" s="57"/>
      <c r="AQ44" s="57"/>
      <c r="AR44" s="57"/>
      <c r="AS44" s="57"/>
      <c r="AT44" s="1"/>
    </row>
    <row r="45" spans="1:46" ht="99.75" customHeight="1">
      <c r="A45" s="46"/>
      <c r="B45" s="360" t="s">
        <v>288</v>
      </c>
      <c r="C45" s="360"/>
      <c r="D45" s="360"/>
      <c r="E45" s="360"/>
      <c r="F45" s="360"/>
      <c r="G45" s="360"/>
      <c r="O45" s="154" t="s">
        <v>120</v>
      </c>
      <c r="P45" s="20" t="b">
        <f>AND(COUNTIF(D25:D27,"&lt;&gt;''")+COUNTIF(D16,"&gt;0")=4,D31=AB32,OR(D32=AB32,D32=AB34),D33=AB32,OR(Z46=0,AND(Z46&gt;0,D34=AC32)),OR(AND(D17&lt;=3,D27&lt;&gt;AA43,D17&gt;0),D27=AA43),M25)</f>
        <v>1</v>
      </c>
      <c r="Q45" s="158"/>
      <c r="R45" s="158"/>
      <c r="S45" s="158"/>
      <c r="T45" s="158"/>
      <c r="U45" s="158"/>
      <c r="V45" s="158"/>
      <c r="W45" s="158"/>
      <c r="X45" s="158"/>
      <c r="Y45" s="20"/>
      <c r="AM45" s="15"/>
      <c r="AQ45" s="57"/>
      <c r="AR45" s="57"/>
      <c r="AS45" s="57"/>
      <c r="AT45" s="1"/>
    </row>
    <row r="46" spans="1:46" ht="19.5" customHeight="1">
      <c r="A46" s="46"/>
      <c r="B46" s="2" t="s">
        <v>236</v>
      </c>
      <c r="O46" s="154" t="s">
        <v>262</v>
      </c>
      <c r="P46" s="154" t="str">
        <f>IF(VLOOKUP(D9,'Select Material'!$U$11:$AA$203,7,FALSE)="yes","yes","no")</f>
        <v>no</v>
      </c>
      <c r="Q46" s="154" t="str">
        <f>IF(VLOOKUP(E9,'Select Material'!$U$11:$AA$203,7,FALSE)="yes","yes","no")</f>
        <v>no</v>
      </c>
      <c r="R46" s="154" t="str">
        <f>IF(VLOOKUP(F9,'Select Material'!$U$11:$AA$203,7,FALSE)="yes","yes","no")</f>
        <v>no</v>
      </c>
      <c r="S46" s="154" t="str">
        <f>IF(VLOOKUP(G9,'Select Material'!$U$11:$AA$203,7,FALSE)="yes","yes","no")</f>
        <v>no</v>
      </c>
      <c r="T46" s="154" t="str">
        <f>IF(VLOOKUP(H9,'Select Material'!$U$11:$AA$203,7,FALSE)="yes","yes","no")</f>
        <v>no</v>
      </c>
      <c r="U46" s="154" t="str">
        <f>IF(VLOOKUP(I9,'Select Material'!$U$11:$AA$203,7,FALSE)="yes","yes","no")</f>
        <v>no</v>
      </c>
      <c r="V46" s="154" t="str">
        <f>IF(VLOOKUP(J9,'Select Material'!$U$11:$AA$203,7,FALSE)="yes","yes","no")</f>
        <v>no</v>
      </c>
      <c r="W46" s="154" t="str">
        <f>IF(VLOOKUP(K9,'Select Material'!$U$11:$AA$203,7,FALSE)="yes","yes","no")</f>
        <v>no</v>
      </c>
      <c r="X46" s="154" t="str">
        <f>IF(VLOOKUP(L9,'Select Material'!$U$11:$AA$203,7,FALSE)="yes","yes","no")</f>
        <v>no</v>
      </c>
      <c r="Y46" s="154" t="str">
        <f>IF(VLOOKUP(M9,'Select Material'!$U$11:$AA$203,7,FALSE)="yes","yes","no")</f>
        <v>no</v>
      </c>
      <c r="Z46" s="2">
        <f>COUNTIF(P46:Y46,"yes")</f>
        <v>0</v>
      </c>
      <c r="AQ46" s="57"/>
      <c r="AR46" s="57"/>
      <c r="AS46" s="57"/>
      <c r="AT46" s="1"/>
    </row>
    <row r="47" spans="1:46" ht="19.5" customHeight="1">
      <c r="A47" s="46"/>
      <c r="B47" s="213" t="str">
        <f>Changecontrol!A86</f>
        <v>Version 2.2 09/06/2014</v>
      </c>
      <c r="Y47" s="133"/>
      <c r="AF47" s="7"/>
      <c r="AN47" s="56"/>
      <c r="AO47" s="57"/>
      <c r="AP47" s="57"/>
      <c r="AQ47" s="57"/>
      <c r="AR47" s="57"/>
      <c r="AS47" s="57"/>
      <c r="AT47" s="1"/>
    </row>
    <row r="48" spans="1:46" ht="19.5" customHeight="1">
      <c r="A48" s="46"/>
      <c r="Y48" s="133"/>
      <c r="AN48" s="10"/>
      <c r="AO48" s="50"/>
      <c r="AP48" s="50"/>
      <c r="AQ48" s="50"/>
      <c r="AR48" s="50"/>
      <c r="AS48" s="50"/>
      <c r="AT48" s="8"/>
    </row>
    <row r="49" spans="1:46" ht="19.5" customHeight="1">
      <c r="A49" s="46"/>
      <c r="H49" s="27"/>
      <c r="Y49" s="133"/>
      <c r="AK49" s="77"/>
      <c r="AL49" s="77"/>
      <c r="AM49" s="18"/>
      <c r="AN49" s="56"/>
      <c r="AO49" s="57"/>
      <c r="AP49" s="57"/>
      <c r="AQ49" s="57"/>
      <c r="AR49" s="57"/>
      <c r="AS49" s="57"/>
      <c r="AT49" s="1"/>
    </row>
    <row r="50" spans="1:62" ht="19.5" customHeight="1">
      <c r="A50" s="46"/>
      <c r="Y50" s="133"/>
      <c r="AF50" s="61" t="s">
        <v>39</v>
      </c>
      <c r="AG50" s="75"/>
      <c r="AH50" s="75"/>
      <c r="AI50" s="75"/>
      <c r="AJ50" s="75"/>
      <c r="AK50" s="75"/>
      <c r="AL50" s="75"/>
      <c r="AM50" s="62"/>
      <c r="AN50" s="63"/>
      <c r="AO50" s="57"/>
      <c r="AP50" s="57"/>
      <c r="AQ50" s="57"/>
      <c r="AR50" s="57"/>
      <c r="AS50" s="57"/>
      <c r="AT50" s="1"/>
      <c r="AU50" s="2"/>
      <c r="AV50" s="2"/>
      <c r="AW50" s="2"/>
      <c r="AX50" s="2"/>
      <c r="AY50" s="2"/>
      <c r="AZ50" s="2"/>
      <c r="BA50" s="2"/>
      <c r="BB50" s="2"/>
      <c r="BC50" s="2"/>
      <c r="BD50" s="2"/>
      <c r="BE50" s="2"/>
      <c r="BF50" s="2"/>
      <c r="BG50" s="2"/>
      <c r="BH50" s="2"/>
      <c r="BJ50" s="2"/>
    </row>
    <row r="51" spans="1:62" ht="19.5" customHeight="1">
      <c r="A51" s="46"/>
      <c r="Y51" s="30"/>
      <c r="AE51" s="134"/>
      <c r="AF51" s="61" t="s">
        <v>40</v>
      </c>
      <c r="AG51" s="75"/>
      <c r="AH51" s="75"/>
      <c r="AI51" s="75"/>
      <c r="AJ51" s="75"/>
      <c r="AK51" s="75"/>
      <c r="AL51" s="75"/>
      <c r="AM51" s="62"/>
      <c r="AN51" s="63"/>
      <c r="AO51" s="57"/>
      <c r="AP51" s="57"/>
      <c r="AQ51" s="57"/>
      <c r="AR51" s="57"/>
      <c r="AS51" s="57"/>
      <c r="AT51" s="1"/>
      <c r="AU51" s="2"/>
      <c r="AV51" s="2"/>
      <c r="AW51" s="2"/>
      <c r="AX51" s="2"/>
      <c r="AY51" s="2"/>
      <c r="AZ51" s="2"/>
      <c r="BA51" s="2"/>
      <c r="BB51" s="2"/>
      <c r="BC51" s="2"/>
      <c r="BD51" s="2"/>
      <c r="BE51" s="2"/>
      <c r="BF51" s="2"/>
      <c r="BG51" s="2"/>
      <c r="BH51" s="2"/>
      <c r="BJ51" s="2"/>
    </row>
    <row r="52" spans="1:62" ht="19.5" customHeight="1">
      <c r="A52" s="46"/>
      <c r="B52" s="67"/>
      <c r="C52" s="67"/>
      <c r="D52" s="67"/>
      <c r="Y52" s="48"/>
      <c r="AE52" s="3"/>
      <c r="AG52" s="76"/>
      <c r="AH52" s="76"/>
      <c r="AI52" s="76"/>
      <c r="AJ52" s="76"/>
      <c r="AK52" s="76"/>
      <c r="AL52" s="75"/>
      <c r="AM52" s="26"/>
      <c r="AN52" s="56"/>
      <c r="AO52" s="57"/>
      <c r="AP52" s="57"/>
      <c r="AQ52" s="57"/>
      <c r="AR52" s="57"/>
      <c r="AS52" s="57"/>
      <c r="AT52" s="1"/>
      <c r="AU52" s="2"/>
      <c r="AV52" s="2"/>
      <c r="AW52" s="2"/>
      <c r="AX52" s="2"/>
      <c r="AY52" s="2"/>
      <c r="AZ52" s="2"/>
      <c r="BA52" s="2"/>
      <c r="BB52" s="2"/>
      <c r="BC52" s="2"/>
      <c r="BD52" s="2"/>
      <c r="BE52" s="2"/>
      <c r="BF52" s="2"/>
      <c r="BG52" s="2"/>
      <c r="BH52" s="2"/>
      <c r="BJ52" s="2"/>
    </row>
    <row r="53" spans="1:62" ht="19.5" customHeight="1">
      <c r="A53" s="46"/>
      <c r="B53" s="67"/>
      <c r="C53" s="67"/>
      <c r="D53" s="67"/>
      <c r="AE53" s="3"/>
      <c r="AG53" s="76"/>
      <c r="AH53" s="76"/>
      <c r="AI53" s="76"/>
      <c r="AJ53" s="76"/>
      <c r="AK53" s="76"/>
      <c r="AL53" s="76"/>
      <c r="AM53" s="27"/>
      <c r="AN53" s="56"/>
      <c r="AO53" s="57"/>
      <c r="AP53" s="57"/>
      <c r="AQ53" s="57"/>
      <c r="AR53" s="57"/>
      <c r="AS53" s="57"/>
      <c r="AT53" s="1"/>
      <c r="AU53" s="2"/>
      <c r="AV53" s="2"/>
      <c r="AW53" s="2"/>
      <c r="AX53" s="2"/>
      <c r="AY53" s="2"/>
      <c r="AZ53" s="2"/>
      <c r="BA53" s="2"/>
      <c r="BB53" s="2"/>
      <c r="BC53" s="2"/>
      <c r="BD53" s="2"/>
      <c r="BE53" s="2"/>
      <c r="BF53" s="2"/>
      <c r="BG53" s="2"/>
      <c r="BH53" s="2"/>
      <c r="BJ53" s="2"/>
    </row>
    <row r="54" spans="1:62" ht="19.5" customHeight="1">
      <c r="A54" s="46"/>
      <c r="B54" s="67"/>
      <c r="C54" s="67"/>
      <c r="D54" s="67"/>
      <c r="AE54" s="31"/>
      <c r="AL54" s="7"/>
      <c r="AM54" s="78"/>
      <c r="AN54" s="10"/>
      <c r="AO54" s="50"/>
      <c r="AP54" s="50"/>
      <c r="AQ54" s="50"/>
      <c r="AR54" s="50"/>
      <c r="AS54" s="50"/>
      <c r="AT54" s="1"/>
      <c r="AU54" s="2"/>
      <c r="AV54" s="2"/>
      <c r="AW54" s="2"/>
      <c r="AX54" s="2"/>
      <c r="AY54" s="2"/>
      <c r="AZ54" s="2"/>
      <c r="BA54" s="2"/>
      <c r="BB54" s="2"/>
      <c r="BC54" s="2"/>
      <c r="BD54" s="2"/>
      <c r="BE54" s="2"/>
      <c r="BF54" s="2"/>
      <c r="BG54" s="2"/>
      <c r="BH54" s="2"/>
      <c r="BJ54" s="2"/>
    </row>
    <row r="55" spans="1:62" ht="19.5" customHeight="1">
      <c r="A55" s="51"/>
      <c r="B55" s="67"/>
      <c r="C55" s="67"/>
      <c r="D55" s="67"/>
      <c r="AE55" s="31"/>
      <c r="AL55" s="7"/>
      <c r="AM55" s="78"/>
      <c r="AN55" s="65"/>
      <c r="AO55" s="66"/>
      <c r="AP55" s="66"/>
      <c r="AQ55" s="66"/>
      <c r="AR55" s="66"/>
      <c r="AS55" s="66"/>
      <c r="AT55" s="1"/>
      <c r="AU55" s="2"/>
      <c r="AV55" s="2"/>
      <c r="AW55" s="2"/>
      <c r="AX55" s="2"/>
      <c r="AY55" s="2"/>
      <c r="AZ55" s="2"/>
      <c r="BA55" s="2"/>
      <c r="BB55" s="2"/>
      <c r="BC55" s="2"/>
      <c r="BD55" s="2"/>
      <c r="BE55" s="2"/>
      <c r="BF55" s="2"/>
      <c r="BG55" s="2"/>
      <c r="BH55" s="2"/>
      <c r="BJ55" s="2"/>
    </row>
    <row r="56" spans="1:62" ht="19.5" customHeight="1">
      <c r="A56" s="46"/>
      <c r="B56" s="46"/>
      <c r="C56" s="46"/>
      <c r="D56" s="46"/>
      <c r="AE56" s="31"/>
      <c r="AK56" s="62"/>
      <c r="AL56" s="79"/>
      <c r="AM56" s="78"/>
      <c r="AN56" s="10"/>
      <c r="AO56" s="50"/>
      <c r="AP56" s="50"/>
      <c r="AQ56" s="50"/>
      <c r="AR56" s="50"/>
      <c r="AS56" s="50"/>
      <c r="AT56" s="1"/>
      <c r="AU56" s="2"/>
      <c r="AV56" s="2"/>
      <c r="AW56" s="2"/>
      <c r="AX56" s="2"/>
      <c r="AY56" s="2"/>
      <c r="AZ56" s="2"/>
      <c r="BA56" s="2"/>
      <c r="BB56" s="2"/>
      <c r="BC56" s="2"/>
      <c r="BD56" s="2"/>
      <c r="BE56" s="2"/>
      <c r="BF56" s="2"/>
      <c r="BG56" s="2"/>
      <c r="BH56" s="2"/>
      <c r="BJ56" s="2"/>
    </row>
    <row r="57" spans="1:62" ht="19.5" customHeight="1">
      <c r="A57" s="46"/>
      <c r="B57" s="46"/>
      <c r="C57" s="46"/>
      <c r="D57" s="46"/>
      <c r="AL57" s="7"/>
      <c r="AM57" s="80"/>
      <c r="AN57" s="10"/>
      <c r="AO57" s="50"/>
      <c r="AP57" s="50"/>
      <c r="AQ57" s="50"/>
      <c r="AR57" s="50"/>
      <c r="AS57" s="50"/>
      <c r="AT57" s="1"/>
      <c r="AU57" s="2"/>
      <c r="AV57" s="2"/>
      <c r="AW57" s="2"/>
      <c r="AX57" s="2"/>
      <c r="AY57" s="2"/>
      <c r="AZ57" s="2"/>
      <c r="BA57" s="2"/>
      <c r="BB57" s="2"/>
      <c r="BC57" s="2"/>
      <c r="BD57" s="2"/>
      <c r="BE57" s="2"/>
      <c r="BF57" s="2"/>
      <c r="BG57" s="2"/>
      <c r="BH57" s="2"/>
      <c r="BJ57" s="2"/>
    </row>
    <row r="58" spans="1:62" ht="19.5" customHeight="1">
      <c r="A58" s="46"/>
      <c r="B58" s="46"/>
      <c r="C58" s="46"/>
      <c r="AG58" s="81"/>
      <c r="AL58" s="7"/>
      <c r="AM58" s="78"/>
      <c r="AN58" s="10"/>
      <c r="AO58" s="50"/>
      <c r="AP58" s="50"/>
      <c r="AQ58" s="50"/>
      <c r="AR58" s="50"/>
      <c r="AS58" s="50"/>
      <c r="AT58" s="1"/>
      <c r="AU58" s="2"/>
      <c r="AV58" s="2"/>
      <c r="AW58" s="2"/>
      <c r="AX58" s="2"/>
      <c r="AY58" s="2"/>
      <c r="AZ58" s="2"/>
      <c r="BA58" s="2"/>
      <c r="BB58" s="2"/>
      <c r="BC58" s="2"/>
      <c r="BD58" s="2"/>
      <c r="BE58" s="2"/>
      <c r="BF58" s="2"/>
      <c r="BG58" s="2"/>
      <c r="BH58" s="2"/>
      <c r="BJ58" s="2"/>
    </row>
    <row r="59" spans="1:62" ht="19.5" customHeight="1">
      <c r="A59" s="46"/>
      <c r="B59" s="46"/>
      <c r="C59" s="46"/>
      <c r="AG59" s="29"/>
      <c r="AL59" s="7"/>
      <c r="AM59" s="9"/>
      <c r="AN59" s="10"/>
      <c r="AO59" s="50"/>
      <c r="AP59" s="50"/>
      <c r="AQ59" s="50"/>
      <c r="AR59" s="50"/>
      <c r="AS59" s="50"/>
      <c r="AT59" s="1"/>
      <c r="AU59" s="2"/>
      <c r="AV59" s="2"/>
      <c r="AW59" s="2"/>
      <c r="AX59" s="2"/>
      <c r="AY59" s="2"/>
      <c r="AZ59" s="2"/>
      <c r="BA59" s="2"/>
      <c r="BB59" s="2"/>
      <c r="BC59" s="2"/>
      <c r="BD59" s="2"/>
      <c r="BE59" s="2"/>
      <c r="BF59" s="2"/>
      <c r="BG59" s="2"/>
      <c r="BH59" s="2"/>
      <c r="BJ59" s="2"/>
    </row>
    <row r="60" spans="1:62" ht="19.5" customHeight="1">
      <c r="A60" s="46"/>
      <c r="B60" s="46"/>
      <c r="C60" s="46"/>
      <c r="AG60" s="29"/>
      <c r="AL60" s="135"/>
      <c r="AM60" s="135"/>
      <c r="AN60" s="10"/>
      <c r="AO60" s="50"/>
      <c r="AP60" s="50"/>
      <c r="AQ60" s="50"/>
      <c r="AR60" s="50"/>
      <c r="AS60" s="50"/>
      <c r="AT60" s="1"/>
      <c r="AU60" s="2"/>
      <c r="AV60" s="2"/>
      <c r="AW60" s="2"/>
      <c r="AX60" s="2"/>
      <c r="AY60" s="2"/>
      <c r="AZ60" s="2"/>
      <c r="BA60" s="2"/>
      <c r="BB60" s="2"/>
      <c r="BC60" s="2"/>
      <c r="BD60" s="2"/>
      <c r="BE60" s="2"/>
      <c r="BF60" s="2"/>
      <c r="BG60" s="2"/>
      <c r="BH60" s="2"/>
      <c r="BJ60" s="2"/>
    </row>
    <row r="61" spans="1:62" ht="19.5" customHeight="1">
      <c r="A61" s="46"/>
      <c r="AG61" s="29"/>
      <c r="AM61" s="9"/>
      <c r="AN61" s="10"/>
      <c r="AO61" s="50"/>
      <c r="AP61" s="50"/>
      <c r="AQ61" s="50"/>
      <c r="AR61" s="50"/>
      <c r="AS61" s="50"/>
      <c r="AT61" s="1"/>
      <c r="AU61" s="2"/>
      <c r="AV61" s="2"/>
      <c r="AW61" s="2"/>
      <c r="AX61" s="2"/>
      <c r="AY61" s="2"/>
      <c r="AZ61" s="2"/>
      <c r="BA61" s="2"/>
      <c r="BB61" s="2"/>
      <c r="BC61" s="2"/>
      <c r="BD61" s="2"/>
      <c r="BE61" s="2"/>
      <c r="BF61" s="2"/>
      <c r="BG61" s="2"/>
      <c r="BH61" s="2"/>
      <c r="BJ61" s="2"/>
    </row>
    <row r="62" spans="1:62" ht="19.5" customHeight="1">
      <c r="A62" s="46"/>
      <c r="AG62" s="29"/>
      <c r="AM62" s="9"/>
      <c r="AN62" s="10"/>
      <c r="AO62" s="50"/>
      <c r="AP62" s="50"/>
      <c r="AQ62" s="50"/>
      <c r="AR62" s="50"/>
      <c r="AS62" s="50"/>
      <c r="AT62" s="1"/>
      <c r="AU62" s="2"/>
      <c r="AV62" s="2"/>
      <c r="AW62" s="2"/>
      <c r="AX62" s="2"/>
      <c r="AY62" s="2"/>
      <c r="AZ62" s="2"/>
      <c r="BA62" s="2"/>
      <c r="BB62" s="2"/>
      <c r="BC62" s="2"/>
      <c r="BD62" s="2"/>
      <c r="BE62" s="2"/>
      <c r="BF62" s="2"/>
      <c r="BG62" s="2"/>
      <c r="BH62" s="2"/>
      <c r="BJ62" s="2"/>
    </row>
    <row r="63" spans="1:62" ht="19.5" customHeight="1">
      <c r="A63" s="46"/>
      <c r="N63" s="158"/>
      <c r="AG63" s="29"/>
      <c r="AM63" s="9"/>
      <c r="AN63" s="10"/>
      <c r="AO63" s="50"/>
      <c r="AP63" s="50"/>
      <c r="AQ63" s="50"/>
      <c r="AR63" s="50"/>
      <c r="AS63" s="50"/>
      <c r="AT63" s="1"/>
      <c r="AU63" s="2"/>
      <c r="AV63" s="2"/>
      <c r="AW63" s="2"/>
      <c r="AX63" s="2"/>
      <c r="AY63" s="2"/>
      <c r="AZ63" s="2"/>
      <c r="BA63" s="2"/>
      <c r="BB63" s="2"/>
      <c r="BC63" s="2"/>
      <c r="BD63" s="2"/>
      <c r="BE63" s="2"/>
      <c r="BF63" s="2"/>
      <c r="BG63" s="2"/>
      <c r="BH63" s="2"/>
      <c r="BJ63" s="2"/>
    </row>
    <row r="64" spans="1:62" ht="19.5" customHeight="1">
      <c r="A64" s="46"/>
      <c r="N64" s="158"/>
      <c r="O64" s="158"/>
      <c r="P64" s="158"/>
      <c r="Q64" s="158"/>
      <c r="R64" s="158"/>
      <c r="S64" s="158"/>
      <c r="T64" s="158"/>
      <c r="U64" s="158"/>
      <c r="V64" s="158"/>
      <c r="W64" s="158"/>
      <c r="X64" s="158"/>
      <c r="AG64" s="29"/>
      <c r="AM64" s="9"/>
      <c r="AN64" s="10"/>
      <c r="AO64" s="50"/>
      <c r="AP64" s="50"/>
      <c r="AQ64" s="50"/>
      <c r="AR64" s="50"/>
      <c r="AS64" s="50"/>
      <c r="AT64" s="1"/>
      <c r="AU64" s="2"/>
      <c r="AV64" s="2"/>
      <c r="AW64" s="2"/>
      <c r="AX64" s="2"/>
      <c r="AY64" s="2"/>
      <c r="AZ64" s="2"/>
      <c r="BA64" s="2"/>
      <c r="BB64" s="2"/>
      <c r="BC64" s="2"/>
      <c r="BD64" s="2"/>
      <c r="BE64" s="2"/>
      <c r="BF64" s="2"/>
      <c r="BG64" s="2"/>
      <c r="BH64" s="2"/>
      <c r="BJ64" s="2"/>
    </row>
    <row r="65" spans="1:62" ht="19.5" customHeight="1">
      <c r="A65" s="46"/>
      <c r="N65" s="156"/>
      <c r="O65" s="158"/>
      <c r="P65" s="158"/>
      <c r="Q65" s="158"/>
      <c r="R65" s="158"/>
      <c r="S65" s="158"/>
      <c r="T65" s="158"/>
      <c r="U65" s="158"/>
      <c r="V65" s="158"/>
      <c r="W65" s="158"/>
      <c r="X65" s="158"/>
      <c r="AA65" s="20"/>
      <c r="AG65" s="29"/>
      <c r="AM65" s="9"/>
      <c r="AN65" s="10"/>
      <c r="AO65" s="50"/>
      <c r="AP65" s="50"/>
      <c r="AQ65" s="50"/>
      <c r="AR65" s="50"/>
      <c r="AS65" s="50"/>
      <c r="AT65" s="1"/>
      <c r="AU65" s="2"/>
      <c r="AV65" s="2"/>
      <c r="AW65" s="2"/>
      <c r="AX65" s="2"/>
      <c r="AY65" s="2"/>
      <c r="AZ65" s="2"/>
      <c r="BA65" s="2"/>
      <c r="BB65" s="2"/>
      <c r="BC65" s="2"/>
      <c r="BD65" s="2"/>
      <c r="BE65" s="2"/>
      <c r="BF65" s="2"/>
      <c r="BG65" s="2"/>
      <c r="BH65" s="2"/>
      <c r="BJ65" s="2"/>
    </row>
    <row r="66" spans="1:62" ht="19.5" customHeight="1">
      <c r="A66" s="46"/>
      <c r="N66" s="156"/>
      <c r="O66" s="156"/>
      <c r="P66" s="156"/>
      <c r="Q66" s="156"/>
      <c r="R66" s="156"/>
      <c r="S66" s="156"/>
      <c r="T66" s="156"/>
      <c r="U66" s="156"/>
      <c r="V66" s="156"/>
      <c r="W66" s="156"/>
      <c r="X66" s="156"/>
      <c r="AA66" s="20"/>
      <c r="AG66" s="29"/>
      <c r="AI66" s="4"/>
      <c r="AJ66" s="5"/>
      <c r="AK66" s="5"/>
      <c r="AL66" s="10"/>
      <c r="AM66" s="9"/>
      <c r="AN66" s="10"/>
      <c r="AO66" s="50"/>
      <c r="AP66" s="50"/>
      <c r="AQ66" s="50"/>
      <c r="AR66" s="50"/>
      <c r="AS66" s="50"/>
      <c r="AT66" s="1"/>
      <c r="AU66" s="2"/>
      <c r="AV66" s="2"/>
      <c r="AW66" s="2"/>
      <c r="AX66" s="2"/>
      <c r="AY66" s="2"/>
      <c r="AZ66" s="2"/>
      <c r="BA66" s="2"/>
      <c r="BB66" s="2"/>
      <c r="BC66" s="2"/>
      <c r="BD66" s="2"/>
      <c r="BE66" s="2"/>
      <c r="BF66" s="2"/>
      <c r="BG66" s="2"/>
      <c r="BH66" s="2"/>
      <c r="BJ66" s="2"/>
    </row>
    <row r="67" spans="1:62" ht="19.5" customHeight="1">
      <c r="A67" s="46"/>
      <c r="E67" s="20"/>
      <c r="F67" s="20"/>
      <c r="G67" s="20"/>
      <c r="H67" s="20"/>
      <c r="I67" s="20"/>
      <c r="J67" s="20"/>
      <c r="K67" s="20"/>
      <c r="L67" s="20"/>
      <c r="M67" s="20"/>
      <c r="N67" s="156"/>
      <c r="O67" s="156"/>
      <c r="P67" s="156"/>
      <c r="Q67" s="156"/>
      <c r="R67" s="156"/>
      <c r="S67" s="156"/>
      <c r="T67" s="156"/>
      <c r="U67" s="156"/>
      <c r="V67" s="156"/>
      <c r="W67" s="156"/>
      <c r="X67" s="156"/>
      <c r="AA67" s="31"/>
      <c r="AE67" s="46"/>
      <c r="AF67" s="49"/>
      <c r="AG67" s="10"/>
      <c r="AI67" s="10"/>
      <c r="AJ67" s="10"/>
      <c r="AK67" s="10"/>
      <c r="AL67" s="10"/>
      <c r="AM67" s="1"/>
      <c r="AU67" s="2"/>
      <c r="AV67" s="2"/>
      <c r="AW67" s="2"/>
      <c r="AX67" s="2"/>
      <c r="AY67" s="2"/>
      <c r="AZ67" s="2"/>
      <c r="BA67" s="2"/>
      <c r="BB67" s="2"/>
      <c r="BC67" s="2"/>
      <c r="BD67" s="2"/>
      <c r="BE67" s="2"/>
      <c r="BF67" s="2"/>
      <c r="BG67" s="2"/>
      <c r="BH67" s="2"/>
      <c r="BJ67" s="2"/>
    </row>
    <row r="68" spans="5:62" ht="19.5" customHeight="1">
      <c r="E68" s="20"/>
      <c r="F68" s="20"/>
      <c r="G68" s="20"/>
      <c r="H68" s="20"/>
      <c r="I68" s="20"/>
      <c r="J68" s="20"/>
      <c r="K68" s="20"/>
      <c r="L68" s="20"/>
      <c r="M68" s="20"/>
      <c r="N68" s="156"/>
      <c r="O68" s="156"/>
      <c r="P68" s="156"/>
      <c r="Q68" s="156"/>
      <c r="R68" s="156"/>
      <c r="S68" s="156"/>
      <c r="T68" s="156"/>
      <c r="U68" s="156"/>
      <c r="V68" s="156"/>
      <c r="W68" s="156"/>
      <c r="X68" s="156"/>
      <c r="AA68" s="31"/>
      <c r="AU68" s="2"/>
      <c r="AV68" s="2"/>
      <c r="AW68" s="2"/>
      <c r="AX68" s="2"/>
      <c r="AY68" s="2"/>
      <c r="AZ68" s="2"/>
      <c r="BA68" s="2"/>
      <c r="BB68" s="2"/>
      <c r="BC68" s="2"/>
      <c r="BD68" s="2"/>
      <c r="BE68" s="2"/>
      <c r="BF68" s="2"/>
      <c r="BG68" s="2"/>
      <c r="BH68" s="2"/>
      <c r="BJ68" s="2"/>
    </row>
    <row r="69" spans="5:62" ht="19.5" customHeight="1">
      <c r="E69" s="31"/>
      <c r="F69" s="31"/>
      <c r="G69" s="31"/>
      <c r="H69" s="31"/>
      <c r="I69" s="31"/>
      <c r="J69" s="31"/>
      <c r="K69" s="31"/>
      <c r="L69" s="31"/>
      <c r="M69" s="31"/>
      <c r="O69" s="156"/>
      <c r="P69" s="156"/>
      <c r="Q69" s="156"/>
      <c r="R69" s="156"/>
      <c r="S69" s="156"/>
      <c r="T69" s="156"/>
      <c r="U69" s="156"/>
      <c r="V69" s="156"/>
      <c r="W69" s="156"/>
      <c r="X69" s="156"/>
      <c r="AA69" s="31"/>
      <c r="AU69" s="2"/>
      <c r="AV69" s="2"/>
      <c r="AW69" s="2"/>
      <c r="AX69" s="2"/>
      <c r="AY69" s="2"/>
      <c r="AZ69" s="2"/>
      <c r="BA69" s="2"/>
      <c r="BB69" s="2"/>
      <c r="BC69" s="2"/>
      <c r="BD69" s="2"/>
      <c r="BE69" s="2"/>
      <c r="BF69" s="2"/>
      <c r="BG69" s="2"/>
      <c r="BH69" s="2"/>
      <c r="BJ69" s="2"/>
    </row>
    <row r="70" spans="5:62" ht="19.5" customHeight="1">
      <c r="E70" s="31"/>
      <c r="F70" s="31"/>
      <c r="G70" s="31"/>
      <c r="H70" s="31"/>
      <c r="I70" s="31"/>
      <c r="J70" s="31"/>
      <c r="K70" s="31"/>
      <c r="L70" s="31"/>
      <c r="M70" s="31"/>
      <c r="AA70" s="31"/>
      <c r="AU70" s="2"/>
      <c r="AV70" s="2"/>
      <c r="AW70" s="2"/>
      <c r="AX70" s="2"/>
      <c r="AY70" s="2"/>
      <c r="AZ70" s="2"/>
      <c r="BA70" s="2"/>
      <c r="BB70" s="2"/>
      <c r="BC70" s="2"/>
      <c r="BD70" s="2"/>
      <c r="BE70" s="2"/>
      <c r="BF70" s="2"/>
      <c r="BG70" s="2"/>
      <c r="BH70" s="2"/>
      <c r="BJ70" s="2"/>
    </row>
    <row r="71" spans="5:62" ht="19.5" customHeight="1">
      <c r="E71" s="31"/>
      <c r="F71" s="31"/>
      <c r="G71" s="31"/>
      <c r="H71" s="31"/>
      <c r="I71" s="31"/>
      <c r="J71" s="31"/>
      <c r="K71" s="31"/>
      <c r="L71" s="31"/>
      <c r="M71" s="31"/>
      <c r="AU71" s="2"/>
      <c r="AV71" s="2"/>
      <c r="AW71" s="2"/>
      <c r="AX71" s="2"/>
      <c r="AY71" s="2"/>
      <c r="AZ71" s="2"/>
      <c r="BA71" s="2"/>
      <c r="BB71" s="2"/>
      <c r="BC71" s="2"/>
      <c r="BD71" s="2"/>
      <c r="BE71" s="2"/>
      <c r="BF71" s="2"/>
      <c r="BG71" s="2"/>
      <c r="BH71" s="2"/>
      <c r="BJ71" s="2"/>
    </row>
    <row r="72" spans="5:62" ht="19.5" customHeight="1">
      <c r="E72" s="31"/>
      <c r="F72" s="31"/>
      <c r="G72" s="31"/>
      <c r="H72" s="31"/>
      <c r="I72" s="31"/>
      <c r="J72" s="31"/>
      <c r="K72" s="31"/>
      <c r="L72" s="31"/>
      <c r="M72" s="31"/>
      <c r="AU72" s="2"/>
      <c r="AV72" s="2"/>
      <c r="AW72" s="2"/>
      <c r="AX72" s="2"/>
      <c r="AY72" s="2"/>
      <c r="AZ72" s="2"/>
      <c r="BA72" s="2"/>
      <c r="BB72" s="2"/>
      <c r="BC72" s="2"/>
      <c r="BD72" s="2"/>
      <c r="BE72" s="2"/>
      <c r="BF72" s="2"/>
      <c r="BG72" s="2"/>
      <c r="BH72" s="2"/>
      <c r="BJ72" s="2"/>
    </row>
    <row r="73" spans="47:62" ht="19.5" customHeight="1">
      <c r="AU73" s="2"/>
      <c r="AV73" s="2"/>
      <c r="AW73" s="2"/>
      <c r="AX73" s="2"/>
      <c r="AY73" s="2"/>
      <c r="AZ73" s="2"/>
      <c r="BA73" s="2"/>
      <c r="BB73" s="2"/>
      <c r="BC73" s="2"/>
      <c r="BD73" s="2"/>
      <c r="BE73" s="2"/>
      <c r="BF73" s="2"/>
      <c r="BG73" s="2"/>
      <c r="BH73" s="2"/>
      <c r="BJ73" s="2"/>
    </row>
    <row r="74" spans="26:62" ht="19.5" customHeight="1">
      <c r="Z74" s="20"/>
      <c r="AU74" s="2"/>
      <c r="AV74" s="2"/>
      <c r="AW74" s="2"/>
      <c r="AX74" s="2"/>
      <c r="AY74" s="2"/>
      <c r="AZ74" s="2"/>
      <c r="BA74" s="2"/>
      <c r="BB74" s="2"/>
      <c r="BC74" s="2"/>
      <c r="BD74" s="2"/>
      <c r="BE74" s="2"/>
      <c r="BF74" s="2"/>
      <c r="BG74" s="2"/>
      <c r="BH74" s="2"/>
      <c r="BJ74" s="2"/>
    </row>
    <row r="75" spans="25:62" ht="19.5" customHeight="1">
      <c r="Y75" s="20"/>
      <c r="Z75" s="20"/>
      <c r="AU75" s="2"/>
      <c r="AV75" s="2"/>
      <c r="AW75" s="2"/>
      <c r="AX75" s="2"/>
      <c r="AY75" s="2"/>
      <c r="AZ75" s="2"/>
      <c r="BA75" s="2"/>
      <c r="BB75" s="2"/>
      <c r="BC75" s="2"/>
      <c r="BD75" s="2"/>
      <c r="BE75" s="2"/>
      <c r="BF75" s="2"/>
      <c r="BG75" s="2"/>
      <c r="BH75" s="2"/>
      <c r="BJ75" s="2"/>
    </row>
    <row r="76" spans="25:62" ht="19.5" customHeight="1">
      <c r="Y76" s="20"/>
      <c r="Z76" s="31"/>
      <c r="AU76" s="2"/>
      <c r="AV76" s="2"/>
      <c r="AW76" s="2"/>
      <c r="AX76" s="2"/>
      <c r="AY76" s="2"/>
      <c r="AZ76" s="2"/>
      <c r="BA76" s="2"/>
      <c r="BB76" s="2"/>
      <c r="BC76" s="2"/>
      <c r="BD76" s="2"/>
      <c r="BE76" s="2"/>
      <c r="BF76" s="2"/>
      <c r="BG76" s="2"/>
      <c r="BH76" s="2"/>
      <c r="BJ76" s="2"/>
    </row>
    <row r="77" spans="25:62" ht="19.5" customHeight="1">
      <c r="Y77" s="31"/>
      <c r="Z77" s="31"/>
      <c r="AU77" s="2"/>
      <c r="AV77" s="2"/>
      <c r="AW77" s="2"/>
      <c r="AX77" s="2"/>
      <c r="AY77" s="2"/>
      <c r="AZ77" s="2"/>
      <c r="BA77" s="2"/>
      <c r="BB77" s="2"/>
      <c r="BC77" s="2"/>
      <c r="BD77" s="2"/>
      <c r="BE77" s="2"/>
      <c r="BF77" s="2"/>
      <c r="BG77" s="2"/>
      <c r="BH77" s="2"/>
      <c r="BJ77" s="2"/>
    </row>
    <row r="78" spans="25:62" ht="19.5" customHeight="1">
      <c r="Y78" s="31"/>
      <c r="Z78" s="31"/>
      <c r="AU78" s="2"/>
      <c r="AV78" s="2"/>
      <c r="AW78" s="2"/>
      <c r="AX78" s="2"/>
      <c r="AY78" s="2"/>
      <c r="AZ78" s="2"/>
      <c r="BA78" s="2"/>
      <c r="BB78" s="2"/>
      <c r="BC78" s="2"/>
      <c r="BD78" s="2"/>
      <c r="BE78" s="2"/>
      <c r="BF78" s="2"/>
      <c r="BG78" s="2"/>
      <c r="BH78" s="2"/>
      <c r="BJ78" s="2"/>
    </row>
    <row r="79" spans="25:62" ht="19.5" customHeight="1">
      <c r="Y79" s="31"/>
      <c r="Z79" s="31"/>
      <c r="AU79" s="2"/>
      <c r="AV79" s="2"/>
      <c r="AW79" s="2"/>
      <c r="AX79" s="2"/>
      <c r="AY79" s="2"/>
      <c r="AZ79" s="2"/>
      <c r="BA79" s="2"/>
      <c r="BB79" s="2"/>
      <c r="BC79" s="2"/>
      <c r="BD79" s="2"/>
      <c r="BE79" s="2"/>
      <c r="BF79" s="2"/>
      <c r="BG79" s="2"/>
      <c r="BH79" s="2"/>
      <c r="BJ79" s="2"/>
    </row>
    <row r="80" spans="25:62" ht="19.5" customHeight="1">
      <c r="Y80" s="31"/>
      <c r="AU80" s="2"/>
      <c r="AV80" s="2"/>
      <c r="AW80" s="2"/>
      <c r="AX80" s="2"/>
      <c r="AY80" s="2"/>
      <c r="AZ80" s="2"/>
      <c r="BA80" s="2"/>
      <c r="BB80" s="2"/>
      <c r="BC80" s="2"/>
      <c r="BD80" s="2"/>
      <c r="BE80" s="2"/>
      <c r="BF80" s="2"/>
      <c r="BG80" s="2"/>
      <c r="BH80" s="2"/>
      <c r="BJ80" s="2"/>
    </row>
    <row r="81" spans="47:62" ht="19.5" customHeight="1">
      <c r="AU81" s="2"/>
      <c r="AV81" s="2"/>
      <c r="AW81" s="2"/>
      <c r="AX81" s="2"/>
      <c r="AY81" s="2"/>
      <c r="AZ81" s="2"/>
      <c r="BA81" s="2"/>
      <c r="BB81" s="2"/>
      <c r="BC81" s="2"/>
      <c r="BD81" s="2"/>
      <c r="BE81" s="2"/>
      <c r="BF81" s="2"/>
      <c r="BG81" s="2"/>
      <c r="BH81" s="2"/>
      <c r="BJ81" s="2"/>
    </row>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sheetData>
  <sheetProtection password="EFE1" sheet="1"/>
  <mergeCells count="48">
    <mergeCell ref="D34:F34"/>
    <mergeCell ref="B41:G41"/>
    <mergeCell ref="H36:M36"/>
    <mergeCell ref="H41:M41"/>
    <mergeCell ref="H34:N34"/>
    <mergeCell ref="B45:G45"/>
    <mergeCell ref="B38:C38"/>
    <mergeCell ref="B39:C39"/>
    <mergeCell ref="B42:C42"/>
    <mergeCell ref="B44:C44"/>
    <mergeCell ref="H32:N32"/>
    <mergeCell ref="B37:C37"/>
    <mergeCell ref="B30:G30"/>
    <mergeCell ref="B31:C31"/>
    <mergeCell ref="D32:F32"/>
    <mergeCell ref="B32:C32"/>
    <mergeCell ref="H33:N33"/>
    <mergeCell ref="B33:C33"/>
    <mergeCell ref="D33:F33"/>
    <mergeCell ref="B34:C34"/>
    <mergeCell ref="B1:E1"/>
    <mergeCell ref="B5:G5"/>
    <mergeCell ref="B19:G19"/>
    <mergeCell ref="B36:G36"/>
    <mergeCell ref="B6:C6"/>
    <mergeCell ref="B20:C20"/>
    <mergeCell ref="D25:F25"/>
    <mergeCell ref="D27:F27"/>
    <mergeCell ref="D31:F31"/>
    <mergeCell ref="B10:C10"/>
    <mergeCell ref="AA25:AD25"/>
    <mergeCell ref="D3:E3"/>
    <mergeCell ref="B25:C25"/>
    <mergeCell ref="B27:C27"/>
    <mergeCell ref="B15:E15"/>
    <mergeCell ref="B26:C26"/>
    <mergeCell ref="H5:M5"/>
    <mergeCell ref="H19:M19"/>
    <mergeCell ref="B7:C7"/>
    <mergeCell ref="B9:C9"/>
    <mergeCell ref="B11:C11"/>
    <mergeCell ref="D26:F26"/>
    <mergeCell ref="H31:N31"/>
    <mergeCell ref="B12:C12"/>
    <mergeCell ref="B13:C13"/>
    <mergeCell ref="B18:C18"/>
    <mergeCell ref="B24:G24"/>
    <mergeCell ref="B28:F28"/>
  </mergeCells>
  <conditionalFormatting sqref="D22:M22">
    <cfRule type="expression" priority="1" dxfId="0" stopIfTrue="1">
      <formula>D22&gt;=D21</formula>
    </cfRule>
  </conditionalFormatting>
  <conditionalFormatting sqref="D21:M21">
    <cfRule type="expression" priority="2" dxfId="0" stopIfTrue="1">
      <formula>D21&lt;=D22</formula>
    </cfRule>
  </conditionalFormatting>
  <dataValidations count="10">
    <dataValidation type="list" allowBlank="1" showInputMessage="1" showErrorMessage="1" sqref="D26">
      <formula1>$AA$32:$AA$34</formula1>
    </dataValidation>
    <dataValidation type="list" allowBlank="1" showInputMessage="1" showErrorMessage="1" sqref="D25:F25">
      <formula1>$AA$36:$AA$37</formula1>
    </dataValidation>
    <dataValidation type="decimal" operator="greaterThanOrEqual" allowBlank="1" showInputMessage="1" showErrorMessage="1" sqref="D21:M22">
      <formula1>0</formula1>
    </dataValidation>
    <dataValidation type="decimal" operator="greaterThanOrEqual" allowBlank="1" showInputMessage="1" showErrorMessage="1" errorTitle="Invalid entry" error="Must be more than zero" sqref="D16:D17">
      <formula1>0</formula1>
    </dataValidation>
    <dataValidation type="list" allowBlank="1" showInputMessage="1" showErrorMessage="1" sqref="D27:F27">
      <formula1>$AA$39:$AA$44</formula1>
    </dataValidation>
    <dataValidation type="list" allowBlank="1" showInputMessage="1" showErrorMessage="1" sqref="D31:F31 D33:F33">
      <formula1>$AB$32:$AB$33</formula1>
    </dataValidation>
    <dataValidation type="list" allowBlank="1" showInputMessage="1" showErrorMessage="1" sqref="E7:M7">
      <formula1>"Floor 1, Floor 2, Floor 3, Floor 4, Floor 5, Wall 1, Wall 2, Wall 3, Wall 4, Wall 5, Roof 1, Roof 2, Roof 3, Roof 4, Roof 5"</formula1>
    </dataValidation>
    <dataValidation type="list" allowBlank="1" showInputMessage="1" showErrorMessage="1" sqref="D7">
      <formula1>"Ground Floor 1, Ground Floor 2, Ground Floor 3, Ground Floor 4, Ground Floor 5, Wall 1, Wall 2, Wall 3, Wall 4, Wall 5, Roof 1, Roof 2, Roof 3, Roof 4, Roof 5"</formula1>
    </dataValidation>
    <dataValidation type="list" allowBlank="1" showInputMessage="1" showErrorMessage="1" sqref="D32:F32">
      <formula1>$AB$32:$AB$34</formula1>
    </dataValidation>
    <dataValidation type="list" allowBlank="1" showInputMessage="1" showErrorMessage="1" sqref="D34:F34">
      <formula1>$AC$32:$AC$34</formula1>
    </dataValidation>
  </dataValidations>
  <printOptions/>
  <pageMargins left="0.75" right="0.75" top="1" bottom="1" header="0.5" footer="0.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52"/>
  </sheetPr>
  <dimension ref="A1:N104"/>
  <sheetViews>
    <sheetView showGridLines="0" zoomScalePageLayoutView="0" workbookViewId="0" topLeftCell="A1">
      <selection activeCell="A1" sqref="A1"/>
    </sheetView>
  </sheetViews>
  <sheetFormatPr defaultColWidth="9.140625" defaultRowHeight="12.75"/>
  <cols>
    <col min="2" max="2" width="67.7109375" style="0" customWidth="1"/>
    <col min="14" max="14" width="9.140625" style="206" customWidth="1"/>
  </cols>
  <sheetData>
    <row r="1" spans="2:12" ht="25.5" customHeight="1">
      <c r="B1" s="367" t="s">
        <v>135</v>
      </c>
      <c r="C1" s="368"/>
      <c r="D1" s="368"/>
      <c r="E1" s="368"/>
      <c r="F1" s="368"/>
      <c r="G1" s="368"/>
      <c r="H1" s="368"/>
      <c r="I1" s="368"/>
      <c r="J1" s="368"/>
      <c r="K1" s="368"/>
      <c r="L1" s="368"/>
    </row>
    <row r="2" spans="2:12" ht="192.75" customHeight="1">
      <c r="B2" s="370" t="s">
        <v>169</v>
      </c>
      <c r="C2" s="290"/>
      <c r="D2" s="290"/>
      <c r="E2" s="290"/>
      <c r="F2" s="290"/>
      <c r="G2" s="290"/>
      <c r="H2" s="290"/>
      <c r="I2" s="290"/>
      <c r="J2" s="290"/>
      <c r="K2" s="290"/>
      <c r="L2" s="290"/>
    </row>
    <row r="3" spans="2:14" s="205" customFormat="1" ht="21.75" customHeight="1">
      <c r="B3" s="203"/>
      <c r="C3" s="204"/>
      <c r="D3" s="204"/>
      <c r="E3" s="204"/>
      <c r="F3" s="204"/>
      <c r="G3" s="204"/>
      <c r="H3" s="204"/>
      <c r="I3" s="204"/>
      <c r="J3" s="204"/>
      <c r="K3" s="204"/>
      <c r="L3" s="204"/>
      <c r="N3" s="207"/>
    </row>
    <row r="4" spans="2:14" s="202" customFormat="1" ht="274.5" customHeight="1">
      <c r="B4" s="374" t="s">
        <v>168</v>
      </c>
      <c r="C4" s="324"/>
      <c r="D4" s="324"/>
      <c r="E4" s="324"/>
      <c r="F4" s="324"/>
      <c r="G4" s="375"/>
      <c r="H4" s="375"/>
      <c r="I4" s="375"/>
      <c r="J4" s="375"/>
      <c r="K4" s="375"/>
      <c r="L4" s="376"/>
      <c r="N4" s="208"/>
    </row>
    <row r="5" spans="2:14" s="205" customFormat="1" ht="35.25" customHeight="1">
      <c r="B5" s="210"/>
      <c r="C5" s="155"/>
      <c r="D5" s="155"/>
      <c r="E5" s="155"/>
      <c r="F5" s="155"/>
      <c r="G5" s="211"/>
      <c r="H5" s="211"/>
      <c r="I5" s="211"/>
      <c r="J5" s="211"/>
      <c r="K5" s="211"/>
      <c r="L5" s="211"/>
      <c r="N5" s="207"/>
    </row>
    <row r="6" spans="2:12" ht="24.75" customHeight="1">
      <c r="B6" s="201" t="s">
        <v>136</v>
      </c>
      <c r="C6" s="199"/>
      <c r="D6" s="199"/>
      <c r="E6" s="199"/>
      <c r="F6" s="199"/>
      <c r="G6" s="199"/>
      <c r="H6" s="199"/>
      <c r="I6" s="199"/>
      <c r="J6" s="199"/>
      <c r="K6" s="199"/>
      <c r="L6" s="199"/>
    </row>
    <row r="7" spans="2:12" ht="5.25" customHeight="1">
      <c r="B7" s="201"/>
      <c r="C7" s="199"/>
      <c r="D7" s="199"/>
      <c r="E7" s="199"/>
      <c r="F7" s="199"/>
      <c r="G7" s="199"/>
      <c r="H7" s="199"/>
      <c r="I7" s="199"/>
      <c r="J7" s="199"/>
      <c r="K7" s="199"/>
      <c r="L7" s="199"/>
    </row>
    <row r="8" spans="3:12" ht="13.5" thickBot="1">
      <c r="C8" s="371" t="s">
        <v>110</v>
      </c>
      <c r="D8" s="372"/>
      <c r="E8" s="372"/>
      <c r="F8" s="372"/>
      <c r="G8" s="372"/>
      <c r="H8" s="372"/>
      <c r="I8" s="372"/>
      <c r="J8" s="372"/>
      <c r="K8" s="372"/>
      <c r="L8" s="373"/>
    </row>
    <row r="9" spans="3:12" ht="12.75">
      <c r="C9" s="191" t="s">
        <v>100</v>
      </c>
      <c r="D9" s="192" t="s">
        <v>101</v>
      </c>
      <c r="E9" s="192" t="s">
        <v>102</v>
      </c>
      <c r="F9" s="192" t="s">
        <v>103</v>
      </c>
      <c r="G9" s="192" t="s">
        <v>104</v>
      </c>
      <c r="H9" s="192" t="s">
        <v>105</v>
      </c>
      <c r="I9" s="192" t="s">
        <v>106</v>
      </c>
      <c r="J9" s="192" t="s">
        <v>107</v>
      </c>
      <c r="K9" s="192" t="s">
        <v>108</v>
      </c>
      <c r="L9" s="193" t="s">
        <v>109</v>
      </c>
    </row>
    <row r="10" spans="2:12" ht="12.75">
      <c r="B10" s="214" t="s">
        <v>195</v>
      </c>
      <c r="C10" s="215">
        <f>SUM(C11:C17,C23,C29,C35,C41)</f>
        <v>0.37381718346253234</v>
      </c>
      <c r="D10" s="215">
        <f aca="true" t="shared" si="0" ref="D10:L10">SUM(D11:D17,D23,D29,D35,D41)</f>
        <v>0</v>
      </c>
      <c r="E10" s="215">
        <f t="shared" si="0"/>
        <v>0</v>
      </c>
      <c r="F10" s="215">
        <f t="shared" si="0"/>
        <v>0</v>
      </c>
      <c r="G10" s="215">
        <f t="shared" si="0"/>
        <v>0</v>
      </c>
      <c r="H10" s="215">
        <f t="shared" si="0"/>
        <v>0</v>
      </c>
      <c r="I10" s="215">
        <f t="shared" si="0"/>
        <v>0</v>
      </c>
      <c r="J10" s="215">
        <f t="shared" si="0"/>
        <v>0</v>
      </c>
      <c r="K10" s="215">
        <f t="shared" si="0"/>
        <v>0</v>
      </c>
      <c r="L10" s="215">
        <f t="shared" si="0"/>
        <v>0</v>
      </c>
    </row>
    <row r="11" spans="2:12" ht="15.75">
      <c r="B11" s="216" t="s">
        <v>179</v>
      </c>
      <c r="C11" s="200">
        <v>0.13</v>
      </c>
      <c r="D11" s="200"/>
      <c r="E11" s="200"/>
      <c r="F11" s="200"/>
      <c r="G11" s="200"/>
      <c r="H11" s="200"/>
      <c r="I11" s="200"/>
      <c r="J11" s="200"/>
      <c r="K11" s="200"/>
      <c r="L11" s="200"/>
    </row>
    <row r="12" spans="2:12" ht="14.25">
      <c r="B12" s="227" t="s">
        <v>180</v>
      </c>
      <c r="C12" s="228">
        <v>0.06</v>
      </c>
      <c r="D12" s="228"/>
      <c r="E12" s="228"/>
      <c r="F12" s="228"/>
      <c r="G12" s="228"/>
      <c r="H12" s="228"/>
      <c r="I12" s="228"/>
      <c r="J12" s="228"/>
      <c r="K12" s="228"/>
      <c r="L12" s="228"/>
    </row>
    <row r="13" spans="2:12" ht="14.25">
      <c r="B13" s="227" t="s">
        <v>181</v>
      </c>
      <c r="C13" s="228">
        <v>0.088</v>
      </c>
      <c r="D13" s="228"/>
      <c r="E13" s="228"/>
      <c r="F13" s="228"/>
      <c r="G13" s="228"/>
      <c r="H13" s="228"/>
      <c r="I13" s="228"/>
      <c r="J13" s="228"/>
      <c r="K13" s="228"/>
      <c r="L13" s="228"/>
    </row>
    <row r="14" spans="2:12" ht="14.25">
      <c r="B14" s="227" t="s">
        <v>184</v>
      </c>
      <c r="C14" s="228"/>
      <c r="D14" s="228"/>
      <c r="E14" s="228"/>
      <c r="F14" s="228"/>
      <c r="G14" s="228"/>
      <c r="H14" s="228"/>
      <c r="I14" s="228"/>
      <c r="J14" s="228"/>
      <c r="K14" s="228"/>
      <c r="L14" s="228"/>
    </row>
    <row r="15" spans="2:12" ht="14.25">
      <c r="B15" s="227" t="s">
        <v>183</v>
      </c>
      <c r="C15" s="228"/>
      <c r="D15" s="228"/>
      <c r="E15" s="228"/>
      <c r="F15" s="228"/>
      <c r="G15" s="228"/>
      <c r="H15" s="228"/>
      <c r="I15" s="228"/>
      <c r="J15" s="228"/>
      <c r="K15" s="228"/>
      <c r="L15" s="228"/>
    </row>
    <row r="16" spans="2:12" ht="14.25">
      <c r="B16" s="227" t="s">
        <v>182</v>
      </c>
      <c r="C16" s="228"/>
      <c r="D16" s="228"/>
      <c r="E16" s="228"/>
      <c r="F16" s="228"/>
      <c r="G16" s="228"/>
      <c r="H16" s="228"/>
      <c r="I16" s="228"/>
      <c r="J16" s="228"/>
      <c r="K16" s="228"/>
      <c r="L16" s="228"/>
    </row>
    <row r="17" spans="2:14" ht="14.25">
      <c r="B17" s="229" t="s">
        <v>188</v>
      </c>
      <c r="C17" s="230">
        <f>IF(C18&gt;0,1/(IF(C19&gt;0,C20/C19,0)+IF(C21&gt;0,C22/C21,0)+(1-SUM(C20,C22))/C18),0)</f>
        <v>0.0958171834625323</v>
      </c>
      <c r="D17" s="230">
        <f aca="true" t="shared" si="1" ref="D17:L17">IF(D18&gt;0,1/(IF(D19&gt;0,D20/D19,0)+IF(D21&gt;0,D22/D21,0)+(1-SUM(D20,D22))/D18),0)</f>
        <v>0</v>
      </c>
      <c r="E17" s="230">
        <f t="shared" si="1"/>
        <v>0</v>
      </c>
      <c r="F17" s="230">
        <f t="shared" si="1"/>
        <v>0</v>
      </c>
      <c r="G17" s="230">
        <f t="shared" si="1"/>
        <v>0</v>
      </c>
      <c r="H17" s="230">
        <f t="shared" si="1"/>
        <v>0</v>
      </c>
      <c r="I17" s="230">
        <f t="shared" si="1"/>
        <v>0</v>
      </c>
      <c r="J17" s="230">
        <f t="shared" si="1"/>
        <v>0</v>
      </c>
      <c r="K17" s="230">
        <f t="shared" si="1"/>
        <v>0</v>
      </c>
      <c r="L17" s="230">
        <f t="shared" si="1"/>
        <v>0</v>
      </c>
      <c r="N17" s="209"/>
    </row>
    <row r="18" spans="2:12" ht="14.25">
      <c r="B18" s="217" t="s">
        <v>185</v>
      </c>
      <c r="C18" s="218">
        <v>0.17</v>
      </c>
      <c r="D18" s="218"/>
      <c r="E18" s="218"/>
      <c r="F18" s="218"/>
      <c r="G18" s="218"/>
      <c r="H18" s="218"/>
      <c r="I18" s="218"/>
      <c r="J18" s="218"/>
      <c r="K18" s="218"/>
      <c r="L18" s="218"/>
    </row>
    <row r="19" spans="2:12" ht="14.25">
      <c r="B19" s="217" t="s">
        <v>186</v>
      </c>
      <c r="C19" s="218">
        <v>0.0349</v>
      </c>
      <c r="D19" s="218"/>
      <c r="E19" s="218"/>
      <c r="F19" s="218"/>
      <c r="G19" s="218"/>
      <c r="H19" s="218"/>
      <c r="I19" s="218"/>
      <c r="J19" s="218"/>
      <c r="K19" s="218"/>
      <c r="L19" s="218"/>
    </row>
    <row r="20" spans="2:12" ht="14.25">
      <c r="B20" s="217" t="s">
        <v>140</v>
      </c>
      <c r="C20" s="218">
        <v>0.2</v>
      </c>
      <c r="D20" s="218"/>
      <c r="E20" s="218"/>
      <c r="F20" s="218"/>
      <c r="G20" s="218"/>
      <c r="H20" s="218"/>
      <c r="I20" s="218"/>
      <c r="J20" s="218"/>
      <c r="K20" s="218"/>
      <c r="L20" s="218"/>
    </row>
    <row r="21" spans="2:12" ht="14.25">
      <c r="B21" s="217" t="s">
        <v>187</v>
      </c>
      <c r="C21" s="218"/>
      <c r="D21" s="218"/>
      <c r="E21" s="218"/>
      <c r="F21" s="218"/>
      <c r="G21" s="218"/>
      <c r="H21" s="218"/>
      <c r="I21" s="218"/>
      <c r="J21" s="218"/>
      <c r="K21" s="218"/>
      <c r="L21" s="218"/>
    </row>
    <row r="22" spans="2:12" ht="14.25">
      <c r="B22" s="217" t="s">
        <v>139</v>
      </c>
      <c r="C22" s="218"/>
      <c r="D22" s="218"/>
      <c r="E22" s="218"/>
      <c r="F22" s="218"/>
      <c r="G22" s="218"/>
      <c r="H22" s="218"/>
      <c r="I22" s="218"/>
      <c r="J22" s="218"/>
      <c r="K22" s="218"/>
      <c r="L22" s="218"/>
    </row>
    <row r="23" spans="2:14" ht="14.25">
      <c r="B23" s="229" t="s">
        <v>192</v>
      </c>
      <c r="C23" s="230">
        <f>IF(C24&gt;0,1/(IF(C25&gt;0,C26/C25,0)+IF(C27&gt;0,C28/C27,0)+(1-SUM(C26,C28))/C24),0)</f>
        <v>0</v>
      </c>
      <c r="D23" s="230">
        <f aca="true" t="shared" si="2" ref="D23:L23">IF(D24&gt;0,1/(IF(D25&gt;0,D26/D25,0)+IF(D27&gt;0,D28/D27,0)+(1-SUM(D26,D28))/D24),0)</f>
        <v>0</v>
      </c>
      <c r="E23" s="230">
        <f t="shared" si="2"/>
        <v>0</v>
      </c>
      <c r="F23" s="230">
        <f t="shared" si="2"/>
        <v>0</v>
      </c>
      <c r="G23" s="230">
        <f t="shared" si="2"/>
        <v>0</v>
      </c>
      <c r="H23" s="230">
        <f t="shared" si="2"/>
        <v>0</v>
      </c>
      <c r="I23" s="230">
        <f t="shared" si="2"/>
        <v>0</v>
      </c>
      <c r="J23" s="230">
        <f t="shared" si="2"/>
        <v>0</v>
      </c>
      <c r="K23" s="230">
        <f t="shared" si="2"/>
        <v>0</v>
      </c>
      <c r="L23" s="230">
        <f t="shared" si="2"/>
        <v>0</v>
      </c>
      <c r="N23" s="209"/>
    </row>
    <row r="24" spans="2:12" ht="14.25">
      <c r="B24" s="217" t="s">
        <v>185</v>
      </c>
      <c r="C24" s="218"/>
      <c r="D24" s="218"/>
      <c r="E24" s="218"/>
      <c r="F24" s="218"/>
      <c r="G24" s="218"/>
      <c r="H24" s="218"/>
      <c r="I24" s="218"/>
      <c r="J24" s="218"/>
      <c r="K24" s="218"/>
      <c r="L24" s="218"/>
    </row>
    <row r="25" spans="2:12" ht="14.25">
      <c r="B25" s="217" t="s">
        <v>186</v>
      </c>
      <c r="C25" s="218"/>
      <c r="D25" s="218"/>
      <c r="E25" s="218"/>
      <c r="F25" s="218"/>
      <c r="G25" s="218"/>
      <c r="H25" s="218"/>
      <c r="I25" s="218"/>
      <c r="J25" s="218"/>
      <c r="K25" s="218"/>
      <c r="L25" s="218"/>
    </row>
    <row r="26" spans="2:12" ht="14.25">
      <c r="B26" s="217" t="s">
        <v>140</v>
      </c>
      <c r="C26" s="218"/>
      <c r="D26" s="218"/>
      <c r="E26" s="218"/>
      <c r="F26" s="218"/>
      <c r="G26" s="218"/>
      <c r="H26" s="218"/>
      <c r="I26" s="218"/>
      <c r="J26" s="218"/>
      <c r="K26" s="218"/>
      <c r="L26" s="218"/>
    </row>
    <row r="27" spans="2:12" ht="14.25">
      <c r="B27" s="217" t="s">
        <v>187</v>
      </c>
      <c r="C27" s="218"/>
      <c r="D27" s="218"/>
      <c r="E27" s="218"/>
      <c r="F27" s="218"/>
      <c r="G27" s="218"/>
      <c r="H27" s="218"/>
      <c r="I27" s="218"/>
      <c r="J27" s="218"/>
      <c r="K27" s="218"/>
      <c r="L27" s="218"/>
    </row>
    <row r="28" spans="2:12" ht="14.25">
      <c r="B28" s="217" t="s">
        <v>139</v>
      </c>
      <c r="C28" s="218"/>
      <c r="D28" s="218"/>
      <c r="E28" s="218"/>
      <c r="F28" s="218"/>
      <c r="G28" s="218"/>
      <c r="H28" s="218"/>
      <c r="I28" s="218"/>
      <c r="J28" s="218"/>
      <c r="K28" s="218"/>
      <c r="L28" s="218"/>
    </row>
    <row r="29" spans="2:14" ht="14.25">
      <c r="B29" s="229" t="s">
        <v>191</v>
      </c>
      <c r="C29" s="230">
        <f aca="true" t="shared" si="3" ref="C29:L29">IF(C30&gt;0,1/(IF(C31&gt;0,C32/C31,0)+IF(C33&gt;0,C34/C33,0)+(1-SUM(C32,C34))/C30),0)</f>
        <v>0</v>
      </c>
      <c r="D29" s="230">
        <f t="shared" si="3"/>
        <v>0</v>
      </c>
      <c r="E29" s="230">
        <f t="shared" si="3"/>
        <v>0</v>
      </c>
      <c r="F29" s="230">
        <f t="shared" si="3"/>
        <v>0</v>
      </c>
      <c r="G29" s="230">
        <f t="shared" si="3"/>
        <v>0</v>
      </c>
      <c r="H29" s="230">
        <f t="shared" si="3"/>
        <v>0</v>
      </c>
      <c r="I29" s="230">
        <f t="shared" si="3"/>
        <v>0</v>
      </c>
      <c r="J29" s="230">
        <f t="shared" si="3"/>
        <v>0</v>
      </c>
      <c r="K29" s="230">
        <f t="shared" si="3"/>
        <v>0</v>
      </c>
      <c r="L29" s="230">
        <f t="shared" si="3"/>
        <v>0</v>
      </c>
      <c r="N29" s="209"/>
    </row>
    <row r="30" spans="2:12" ht="14.25">
      <c r="B30" s="217" t="s">
        <v>185</v>
      </c>
      <c r="C30" s="218"/>
      <c r="D30" s="218"/>
      <c r="E30" s="218"/>
      <c r="F30" s="218"/>
      <c r="G30" s="218"/>
      <c r="H30" s="218"/>
      <c r="I30" s="218"/>
      <c r="J30" s="218"/>
      <c r="K30" s="218"/>
      <c r="L30" s="218"/>
    </row>
    <row r="31" spans="2:12" ht="14.25">
      <c r="B31" s="217" t="s">
        <v>186</v>
      </c>
      <c r="C31" s="218"/>
      <c r="D31" s="218"/>
      <c r="E31" s="218"/>
      <c r="F31" s="218"/>
      <c r="G31" s="218"/>
      <c r="H31" s="218"/>
      <c r="I31" s="218"/>
      <c r="J31" s="218"/>
      <c r="K31" s="218"/>
      <c r="L31" s="218"/>
    </row>
    <row r="32" spans="2:12" ht="14.25">
      <c r="B32" s="217" t="s">
        <v>140</v>
      </c>
      <c r="C32" s="218"/>
      <c r="D32" s="218"/>
      <c r="E32" s="218"/>
      <c r="F32" s="218"/>
      <c r="G32" s="218"/>
      <c r="H32" s="218"/>
      <c r="I32" s="218"/>
      <c r="J32" s="218"/>
      <c r="K32" s="218"/>
      <c r="L32" s="218"/>
    </row>
    <row r="33" spans="2:12" ht="14.25">
      <c r="B33" s="217" t="s">
        <v>187</v>
      </c>
      <c r="C33" s="218"/>
      <c r="D33" s="218"/>
      <c r="E33" s="218"/>
      <c r="F33" s="218"/>
      <c r="G33" s="218"/>
      <c r="H33" s="218"/>
      <c r="I33" s="218"/>
      <c r="J33" s="218"/>
      <c r="K33" s="218"/>
      <c r="L33" s="218"/>
    </row>
    <row r="34" spans="2:12" ht="14.25">
      <c r="B34" s="217" t="s">
        <v>139</v>
      </c>
      <c r="C34" s="218"/>
      <c r="D34" s="218"/>
      <c r="E34" s="218"/>
      <c r="F34" s="218"/>
      <c r="G34" s="218"/>
      <c r="H34" s="218"/>
      <c r="I34" s="218"/>
      <c r="J34" s="218"/>
      <c r="K34" s="218"/>
      <c r="L34" s="218"/>
    </row>
    <row r="35" spans="2:14" ht="14.25">
      <c r="B35" s="229" t="s">
        <v>190</v>
      </c>
      <c r="C35" s="230">
        <f aca="true" t="shared" si="4" ref="C35:L35">IF(C36&gt;0,1/(IF(C37&gt;0,C38/C37,0)+IF(C39&gt;0,C40/C39,0)+(1-SUM(C38,C40))/C36),0)</f>
        <v>0</v>
      </c>
      <c r="D35" s="230">
        <f t="shared" si="4"/>
        <v>0</v>
      </c>
      <c r="E35" s="230">
        <f t="shared" si="4"/>
        <v>0</v>
      </c>
      <c r="F35" s="230">
        <f t="shared" si="4"/>
        <v>0</v>
      </c>
      <c r="G35" s="230">
        <f t="shared" si="4"/>
        <v>0</v>
      </c>
      <c r="H35" s="230">
        <f t="shared" si="4"/>
        <v>0</v>
      </c>
      <c r="I35" s="230">
        <f t="shared" si="4"/>
        <v>0</v>
      </c>
      <c r="J35" s="230">
        <f t="shared" si="4"/>
        <v>0</v>
      </c>
      <c r="K35" s="230">
        <f t="shared" si="4"/>
        <v>0</v>
      </c>
      <c r="L35" s="230">
        <f t="shared" si="4"/>
        <v>0</v>
      </c>
      <c r="N35" s="209"/>
    </row>
    <row r="36" spans="2:12" ht="14.25">
      <c r="B36" s="217" t="s">
        <v>185</v>
      </c>
      <c r="C36" s="218"/>
      <c r="D36" s="218"/>
      <c r="E36" s="218"/>
      <c r="F36" s="218"/>
      <c r="G36" s="218"/>
      <c r="H36" s="218"/>
      <c r="I36" s="218"/>
      <c r="J36" s="218"/>
      <c r="K36" s="218"/>
      <c r="L36" s="218"/>
    </row>
    <row r="37" spans="2:12" ht="14.25">
      <c r="B37" s="217" t="s">
        <v>186</v>
      </c>
      <c r="C37" s="218"/>
      <c r="D37" s="218"/>
      <c r="E37" s="218"/>
      <c r="F37" s="218"/>
      <c r="G37" s="218"/>
      <c r="H37" s="218"/>
      <c r="I37" s="218"/>
      <c r="J37" s="218"/>
      <c r="K37" s="218"/>
      <c r="L37" s="218"/>
    </row>
    <row r="38" spans="2:12" ht="14.25">
      <c r="B38" s="217" t="s">
        <v>140</v>
      </c>
      <c r="C38" s="218"/>
      <c r="D38" s="218"/>
      <c r="E38" s="218"/>
      <c r="F38" s="218"/>
      <c r="G38" s="218"/>
      <c r="H38" s="218"/>
      <c r="I38" s="218"/>
      <c r="J38" s="218"/>
      <c r="K38" s="218"/>
      <c r="L38" s="218"/>
    </row>
    <row r="39" spans="2:12" ht="14.25">
      <c r="B39" s="217" t="s">
        <v>187</v>
      </c>
      <c r="C39" s="218"/>
      <c r="D39" s="218"/>
      <c r="E39" s="218"/>
      <c r="F39" s="218"/>
      <c r="G39" s="218"/>
      <c r="H39" s="218"/>
      <c r="I39" s="218"/>
      <c r="J39" s="218"/>
      <c r="K39" s="218"/>
      <c r="L39" s="218"/>
    </row>
    <row r="40" spans="2:12" ht="14.25">
      <c r="B40" s="217" t="s">
        <v>139</v>
      </c>
      <c r="C40" s="218"/>
      <c r="D40" s="218"/>
      <c r="E40" s="218"/>
      <c r="F40" s="218"/>
      <c r="G40" s="218"/>
      <c r="H40" s="218"/>
      <c r="I40" s="218"/>
      <c r="J40" s="218"/>
      <c r="K40" s="218"/>
      <c r="L40" s="218"/>
    </row>
    <row r="41" spans="2:14" ht="14.25">
      <c r="B41" s="229" t="s">
        <v>189</v>
      </c>
      <c r="C41" s="230">
        <f aca="true" t="shared" si="5" ref="C41:L41">IF(C42&gt;0,1/(IF(C43&gt;0,C44/C43,0)+IF(C45&gt;0,C46/C45,0)+(1-SUM(C44,C46))/C42),0)</f>
        <v>0</v>
      </c>
      <c r="D41" s="230">
        <f t="shared" si="5"/>
        <v>0</v>
      </c>
      <c r="E41" s="230">
        <f t="shared" si="5"/>
        <v>0</v>
      </c>
      <c r="F41" s="230">
        <f t="shared" si="5"/>
        <v>0</v>
      </c>
      <c r="G41" s="230">
        <f t="shared" si="5"/>
        <v>0</v>
      </c>
      <c r="H41" s="230">
        <f t="shared" si="5"/>
        <v>0</v>
      </c>
      <c r="I41" s="230">
        <f t="shared" si="5"/>
        <v>0</v>
      </c>
      <c r="J41" s="230">
        <f t="shared" si="5"/>
        <v>0</v>
      </c>
      <c r="K41" s="230">
        <f t="shared" si="5"/>
        <v>0</v>
      </c>
      <c r="L41" s="230">
        <f t="shared" si="5"/>
        <v>0</v>
      </c>
      <c r="N41" s="209"/>
    </row>
    <row r="42" spans="2:12" ht="14.25">
      <c r="B42" s="217" t="s">
        <v>185</v>
      </c>
      <c r="C42" s="218"/>
      <c r="D42" s="218"/>
      <c r="E42" s="218"/>
      <c r="F42" s="218"/>
      <c r="G42" s="218"/>
      <c r="H42" s="218"/>
      <c r="I42" s="218"/>
      <c r="J42" s="218"/>
      <c r="K42" s="218"/>
      <c r="L42" s="218"/>
    </row>
    <row r="43" spans="2:12" ht="14.25">
      <c r="B43" s="217" t="s">
        <v>186</v>
      </c>
      <c r="C43" s="218"/>
      <c r="D43" s="218"/>
      <c r="E43" s="218"/>
      <c r="F43" s="218"/>
      <c r="G43" s="218"/>
      <c r="H43" s="218"/>
      <c r="I43" s="218"/>
      <c r="J43" s="218"/>
      <c r="K43" s="218"/>
      <c r="L43" s="218"/>
    </row>
    <row r="44" spans="2:12" ht="14.25">
      <c r="B44" s="217" t="s">
        <v>140</v>
      </c>
      <c r="C44" s="218"/>
      <c r="D44" s="218"/>
      <c r="E44" s="218"/>
      <c r="F44" s="218"/>
      <c r="G44" s="218"/>
      <c r="H44" s="218"/>
      <c r="I44" s="218"/>
      <c r="J44" s="218"/>
      <c r="K44" s="218"/>
      <c r="L44" s="218"/>
    </row>
    <row r="45" spans="2:12" ht="14.25">
      <c r="B45" s="217" t="s">
        <v>187</v>
      </c>
      <c r="C45" s="218"/>
      <c r="D45" s="218"/>
      <c r="E45" s="218"/>
      <c r="F45" s="218"/>
      <c r="G45" s="218"/>
      <c r="H45" s="218"/>
      <c r="I45" s="218"/>
      <c r="J45" s="218"/>
      <c r="K45" s="218"/>
      <c r="L45" s="218"/>
    </row>
    <row r="46" spans="2:12" ht="14.25">
      <c r="B46" s="217" t="s">
        <v>139</v>
      </c>
      <c r="C46" s="218"/>
      <c r="D46" s="218"/>
      <c r="E46" s="218"/>
      <c r="F46" s="218"/>
      <c r="G46" s="218"/>
      <c r="H46" s="218"/>
      <c r="I46" s="218"/>
      <c r="J46" s="218"/>
      <c r="K46" s="218"/>
      <c r="L46" s="218"/>
    </row>
    <row r="47" ht="12.75"/>
    <row r="48" ht="21.75" customHeight="1">
      <c r="B48" s="201" t="s">
        <v>137</v>
      </c>
    </row>
    <row r="49" ht="15.75" customHeight="1">
      <c r="B49" s="201"/>
    </row>
    <row r="50" spans="3:12" ht="12.75">
      <c r="C50" s="369" t="s">
        <v>110</v>
      </c>
      <c r="D50" s="369"/>
      <c r="E50" s="369"/>
      <c r="F50" s="369"/>
      <c r="G50" s="369"/>
      <c r="H50" s="369"/>
      <c r="I50" s="369"/>
      <c r="J50" s="369"/>
      <c r="K50" s="369"/>
      <c r="L50" s="369"/>
    </row>
    <row r="51" spans="3:12" ht="12.75">
      <c r="C51" s="212" t="s">
        <v>100</v>
      </c>
      <c r="D51" s="212" t="s">
        <v>101</v>
      </c>
      <c r="E51" s="212" t="s">
        <v>102</v>
      </c>
      <c r="F51" s="212" t="s">
        <v>103</v>
      </c>
      <c r="G51" s="212" t="s">
        <v>104</v>
      </c>
      <c r="H51" s="212" t="s">
        <v>105</v>
      </c>
      <c r="I51" s="212" t="s">
        <v>106</v>
      </c>
      <c r="J51" s="212" t="s">
        <v>107</v>
      </c>
      <c r="K51" s="212" t="s">
        <v>108</v>
      </c>
      <c r="L51" s="212" t="s">
        <v>109</v>
      </c>
    </row>
    <row r="52" spans="2:12" ht="12.75">
      <c r="B52" s="214" t="s">
        <v>196</v>
      </c>
      <c r="C52" s="215">
        <f aca="true" t="shared" si="6" ref="C52:L52">SUM(C53:C59,C65,C71,C77,C83)</f>
        <v>0.17600000000000002</v>
      </c>
      <c r="D52" s="215">
        <f t="shared" si="6"/>
        <v>0</v>
      </c>
      <c r="E52" s="215">
        <f t="shared" si="6"/>
        <v>0</v>
      </c>
      <c r="F52" s="215">
        <f t="shared" si="6"/>
        <v>0</v>
      </c>
      <c r="G52" s="215">
        <f t="shared" si="6"/>
        <v>0</v>
      </c>
      <c r="H52" s="215">
        <f t="shared" si="6"/>
        <v>0</v>
      </c>
      <c r="I52" s="215">
        <f t="shared" si="6"/>
        <v>0</v>
      </c>
      <c r="J52" s="215">
        <f t="shared" si="6"/>
        <v>0</v>
      </c>
      <c r="K52" s="215">
        <f t="shared" si="6"/>
        <v>0</v>
      </c>
      <c r="L52" s="215">
        <f t="shared" si="6"/>
        <v>0</v>
      </c>
    </row>
    <row r="53" spans="2:12" ht="15.75">
      <c r="B53" s="216" t="s">
        <v>197</v>
      </c>
      <c r="C53" s="200">
        <v>0.04</v>
      </c>
      <c r="D53" s="200"/>
      <c r="E53" s="200"/>
      <c r="F53" s="200"/>
      <c r="G53" s="200"/>
      <c r="H53" s="200"/>
      <c r="I53" s="200"/>
      <c r="J53" s="200"/>
      <c r="K53" s="200"/>
      <c r="L53" s="200"/>
    </row>
    <row r="54" spans="2:12" ht="14.25">
      <c r="B54" s="227" t="s">
        <v>180</v>
      </c>
      <c r="C54" s="228">
        <v>0.136</v>
      </c>
      <c r="D54" s="228"/>
      <c r="E54" s="228"/>
      <c r="F54" s="228"/>
      <c r="G54" s="228"/>
      <c r="H54" s="228"/>
      <c r="I54" s="228"/>
      <c r="J54" s="228"/>
      <c r="K54" s="228"/>
      <c r="L54" s="228"/>
    </row>
    <row r="55" spans="2:12" ht="14.25">
      <c r="B55" s="227" t="s">
        <v>181</v>
      </c>
      <c r="C55" s="228"/>
      <c r="D55" s="228"/>
      <c r="E55" s="228"/>
      <c r="F55" s="228"/>
      <c r="G55" s="228"/>
      <c r="H55" s="228"/>
      <c r="I55" s="228"/>
      <c r="J55" s="228"/>
      <c r="K55" s="228"/>
      <c r="L55" s="228"/>
    </row>
    <row r="56" spans="2:12" ht="14.25">
      <c r="B56" s="227" t="s">
        <v>184</v>
      </c>
      <c r="C56" s="228"/>
      <c r="D56" s="228"/>
      <c r="E56" s="228"/>
      <c r="F56" s="228"/>
      <c r="G56" s="228"/>
      <c r="H56" s="228"/>
      <c r="I56" s="228"/>
      <c r="J56" s="228"/>
      <c r="K56" s="228"/>
      <c r="L56" s="228"/>
    </row>
    <row r="57" spans="2:12" ht="14.25">
      <c r="B57" s="227" t="s">
        <v>183</v>
      </c>
      <c r="C57" s="228"/>
      <c r="D57" s="228"/>
      <c r="E57" s="228"/>
      <c r="F57" s="228"/>
      <c r="G57" s="228"/>
      <c r="H57" s="228"/>
      <c r="I57" s="228"/>
      <c r="J57" s="228"/>
      <c r="K57" s="228"/>
      <c r="L57" s="228"/>
    </row>
    <row r="58" spans="2:12" ht="14.25">
      <c r="B58" s="227" t="s">
        <v>182</v>
      </c>
      <c r="C58" s="228"/>
      <c r="D58" s="228"/>
      <c r="E58" s="228"/>
      <c r="F58" s="228"/>
      <c r="G58" s="228"/>
      <c r="H58" s="228"/>
      <c r="I58" s="228"/>
      <c r="J58" s="228"/>
      <c r="K58" s="228"/>
      <c r="L58" s="228"/>
    </row>
    <row r="59" spans="2:12" ht="14.25">
      <c r="B59" s="229" t="s">
        <v>188</v>
      </c>
      <c r="C59" s="230">
        <f aca="true" t="shared" si="7" ref="C59:L59">IF(C60&gt;0,1/(IF(C61&gt;0,C62/C61,0)+IF(C63&gt;0,C64/C63,0)+(1-SUM(C62,C64))/C60),0)</f>
        <v>0</v>
      </c>
      <c r="D59" s="230">
        <f t="shared" si="7"/>
        <v>0</v>
      </c>
      <c r="E59" s="230">
        <f t="shared" si="7"/>
        <v>0</v>
      </c>
      <c r="F59" s="230">
        <f t="shared" si="7"/>
        <v>0</v>
      </c>
      <c r="G59" s="230">
        <f t="shared" si="7"/>
        <v>0</v>
      </c>
      <c r="H59" s="230">
        <f t="shared" si="7"/>
        <v>0</v>
      </c>
      <c r="I59" s="230">
        <f t="shared" si="7"/>
        <v>0</v>
      </c>
      <c r="J59" s="230">
        <f t="shared" si="7"/>
        <v>0</v>
      </c>
      <c r="K59" s="230">
        <f t="shared" si="7"/>
        <v>0</v>
      </c>
      <c r="L59" s="230">
        <f t="shared" si="7"/>
        <v>0</v>
      </c>
    </row>
    <row r="60" spans="2:12" ht="14.25">
      <c r="B60" s="217" t="s">
        <v>185</v>
      </c>
      <c r="C60" s="218"/>
      <c r="D60" s="218"/>
      <c r="E60" s="218"/>
      <c r="F60" s="218"/>
      <c r="G60" s="218"/>
      <c r="H60" s="218"/>
      <c r="I60" s="218"/>
      <c r="J60" s="218"/>
      <c r="K60" s="218"/>
      <c r="L60" s="218"/>
    </row>
    <row r="61" spans="2:12" ht="14.25">
      <c r="B61" s="217" t="s">
        <v>186</v>
      </c>
      <c r="C61" s="218"/>
      <c r="D61" s="218"/>
      <c r="E61" s="218"/>
      <c r="F61" s="218"/>
      <c r="G61" s="218"/>
      <c r="H61" s="218"/>
      <c r="I61" s="218"/>
      <c r="J61" s="218"/>
      <c r="K61" s="218"/>
      <c r="L61" s="218"/>
    </row>
    <row r="62" spans="2:12" ht="14.25">
      <c r="B62" s="217" t="s">
        <v>140</v>
      </c>
      <c r="C62" s="218"/>
      <c r="D62" s="218"/>
      <c r="E62" s="218"/>
      <c r="F62" s="218"/>
      <c r="G62" s="218"/>
      <c r="H62" s="218"/>
      <c r="I62" s="218"/>
      <c r="J62" s="218"/>
      <c r="K62" s="218"/>
      <c r="L62" s="218"/>
    </row>
    <row r="63" spans="2:12" ht="14.25">
      <c r="B63" s="217" t="s">
        <v>187</v>
      </c>
      <c r="C63" s="218"/>
      <c r="D63" s="218"/>
      <c r="E63" s="218"/>
      <c r="F63" s="218"/>
      <c r="G63" s="218"/>
      <c r="H63" s="218"/>
      <c r="I63" s="218"/>
      <c r="J63" s="218"/>
      <c r="K63" s="218"/>
      <c r="L63" s="218"/>
    </row>
    <row r="64" spans="2:12" ht="14.25">
      <c r="B64" s="217" t="s">
        <v>139</v>
      </c>
      <c r="C64" s="218"/>
      <c r="D64" s="218"/>
      <c r="E64" s="218"/>
      <c r="F64" s="218"/>
      <c r="G64" s="218"/>
      <c r="H64" s="218"/>
      <c r="I64" s="218"/>
      <c r="J64" s="218"/>
      <c r="K64" s="218"/>
      <c r="L64" s="218"/>
    </row>
    <row r="65" spans="2:12" ht="14.25">
      <c r="B65" s="229" t="s">
        <v>192</v>
      </c>
      <c r="C65" s="230">
        <f aca="true" t="shared" si="8" ref="C65:L65">IF(C66&gt;0,1/(IF(C67&gt;0,C68/C67,0)+IF(C69&gt;0,C70/C69,0)+(1-SUM(C68,C70))/C66),0)</f>
        <v>0</v>
      </c>
      <c r="D65" s="230">
        <f t="shared" si="8"/>
        <v>0</v>
      </c>
      <c r="E65" s="230">
        <f t="shared" si="8"/>
        <v>0</v>
      </c>
      <c r="F65" s="230">
        <f t="shared" si="8"/>
        <v>0</v>
      </c>
      <c r="G65" s="230">
        <f t="shared" si="8"/>
        <v>0</v>
      </c>
      <c r="H65" s="230">
        <f t="shared" si="8"/>
        <v>0</v>
      </c>
      <c r="I65" s="230">
        <f t="shared" si="8"/>
        <v>0</v>
      </c>
      <c r="J65" s="230">
        <f t="shared" si="8"/>
        <v>0</v>
      </c>
      <c r="K65" s="230">
        <f t="shared" si="8"/>
        <v>0</v>
      </c>
      <c r="L65" s="230">
        <f t="shared" si="8"/>
        <v>0</v>
      </c>
    </row>
    <row r="66" spans="2:12" ht="14.25">
      <c r="B66" s="217" t="s">
        <v>185</v>
      </c>
      <c r="C66" s="218"/>
      <c r="D66" s="218"/>
      <c r="E66" s="218"/>
      <c r="F66" s="218"/>
      <c r="G66" s="218"/>
      <c r="H66" s="218"/>
      <c r="I66" s="218"/>
      <c r="J66" s="218"/>
      <c r="K66" s="218"/>
      <c r="L66" s="218"/>
    </row>
    <row r="67" spans="2:12" ht="14.25">
      <c r="B67" s="217" t="s">
        <v>186</v>
      </c>
      <c r="C67" s="218"/>
      <c r="D67" s="218"/>
      <c r="E67" s="218"/>
      <c r="F67" s="218"/>
      <c r="G67" s="218"/>
      <c r="H67" s="218"/>
      <c r="I67" s="218"/>
      <c r="J67" s="218"/>
      <c r="K67" s="218"/>
      <c r="L67" s="218"/>
    </row>
    <row r="68" spans="2:12" ht="14.25">
      <c r="B68" s="217" t="s">
        <v>140</v>
      </c>
      <c r="C68" s="218"/>
      <c r="D68" s="218"/>
      <c r="E68" s="218"/>
      <c r="F68" s="218"/>
      <c r="G68" s="218"/>
      <c r="H68" s="218"/>
      <c r="I68" s="218"/>
      <c r="J68" s="218"/>
      <c r="K68" s="218"/>
      <c r="L68" s="218"/>
    </row>
    <row r="69" spans="2:12" ht="14.25">
      <c r="B69" s="217" t="s">
        <v>187</v>
      </c>
      <c r="C69" s="218"/>
      <c r="D69" s="218"/>
      <c r="E69" s="218"/>
      <c r="F69" s="218"/>
      <c r="G69" s="218"/>
      <c r="H69" s="218"/>
      <c r="I69" s="218"/>
      <c r="J69" s="218"/>
      <c r="K69" s="218"/>
      <c r="L69" s="218"/>
    </row>
    <row r="70" spans="2:12" ht="14.25">
      <c r="B70" s="217" t="s">
        <v>139</v>
      </c>
      <c r="C70" s="218"/>
      <c r="D70" s="218"/>
      <c r="E70" s="218"/>
      <c r="F70" s="218"/>
      <c r="G70" s="218"/>
      <c r="H70" s="218"/>
      <c r="I70" s="218"/>
      <c r="J70" s="218"/>
      <c r="K70" s="218"/>
      <c r="L70" s="218"/>
    </row>
    <row r="71" spans="2:12" ht="14.25">
      <c r="B71" s="229" t="s">
        <v>191</v>
      </c>
      <c r="C71" s="230">
        <f aca="true" t="shared" si="9" ref="C71:L71">IF(C72&gt;0,1/(IF(C73&gt;0,C74/C73,0)+IF(C75&gt;0,C76/C75,0)+(1-SUM(C74,C76))/C72),0)</f>
        <v>0</v>
      </c>
      <c r="D71" s="230">
        <f t="shared" si="9"/>
        <v>0</v>
      </c>
      <c r="E71" s="230">
        <f t="shared" si="9"/>
        <v>0</v>
      </c>
      <c r="F71" s="230">
        <f t="shared" si="9"/>
        <v>0</v>
      </c>
      <c r="G71" s="230">
        <f t="shared" si="9"/>
        <v>0</v>
      </c>
      <c r="H71" s="230">
        <f t="shared" si="9"/>
        <v>0</v>
      </c>
      <c r="I71" s="230">
        <f t="shared" si="9"/>
        <v>0</v>
      </c>
      <c r="J71" s="230">
        <f t="shared" si="9"/>
        <v>0</v>
      </c>
      <c r="K71" s="230">
        <f t="shared" si="9"/>
        <v>0</v>
      </c>
      <c r="L71" s="230">
        <f t="shared" si="9"/>
        <v>0</v>
      </c>
    </row>
    <row r="72" spans="2:12" ht="14.25">
      <c r="B72" s="217" t="s">
        <v>185</v>
      </c>
      <c r="C72" s="218"/>
      <c r="D72" s="218"/>
      <c r="E72" s="218"/>
      <c r="F72" s="218"/>
      <c r="G72" s="218"/>
      <c r="H72" s="218"/>
      <c r="I72" s="218"/>
      <c r="J72" s="218"/>
      <c r="K72" s="218"/>
      <c r="L72" s="218"/>
    </row>
    <row r="73" spans="2:12" ht="14.25">
      <c r="B73" s="217" t="s">
        <v>186</v>
      </c>
      <c r="C73" s="218"/>
      <c r="D73" s="218"/>
      <c r="E73" s="218"/>
      <c r="F73" s="218"/>
      <c r="G73" s="218"/>
      <c r="H73" s="218"/>
      <c r="I73" s="218"/>
      <c r="J73" s="218"/>
      <c r="K73" s="218"/>
      <c r="L73" s="218"/>
    </row>
    <row r="74" spans="2:12" ht="14.25">
      <c r="B74" s="217" t="s">
        <v>140</v>
      </c>
      <c r="C74" s="218"/>
      <c r="D74" s="218"/>
      <c r="E74" s="218"/>
      <c r="F74" s="218"/>
      <c r="G74" s="218"/>
      <c r="H74" s="218"/>
      <c r="I74" s="218"/>
      <c r="J74" s="218"/>
      <c r="K74" s="218"/>
      <c r="L74" s="218"/>
    </row>
    <row r="75" spans="2:12" ht="14.25">
      <c r="B75" s="217" t="s">
        <v>187</v>
      </c>
      <c r="C75" s="218"/>
      <c r="D75" s="218"/>
      <c r="E75" s="218"/>
      <c r="F75" s="218"/>
      <c r="G75" s="218"/>
      <c r="H75" s="218"/>
      <c r="I75" s="218"/>
      <c r="J75" s="218"/>
      <c r="K75" s="218"/>
      <c r="L75" s="218"/>
    </row>
    <row r="76" spans="2:12" ht="14.25">
      <c r="B76" s="217" t="s">
        <v>139</v>
      </c>
      <c r="C76" s="218"/>
      <c r="D76" s="218"/>
      <c r="E76" s="218"/>
      <c r="F76" s="218"/>
      <c r="G76" s="218"/>
      <c r="H76" s="218"/>
      <c r="I76" s="218"/>
      <c r="J76" s="218"/>
      <c r="K76" s="233"/>
      <c r="L76" s="218"/>
    </row>
    <row r="77" spans="2:12" ht="14.25">
      <c r="B77" s="229" t="s">
        <v>190</v>
      </c>
      <c r="C77" s="230">
        <f aca="true" t="shared" si="10" ref="C77:L77">IF(C78&gt;0,1/(IF(C79&gt;0,C80/C79,0)+IF(C81&gt;0,C82/C81,0)+(1-SUM(C80,C82))/C78),0)</f>
        <v>0</v>
      </c>
      <c r="D77" s="230">
        <f t="shared" si="10"/>
        <v>0</v>
      </c>
      <c r="E77" s="230">
        <f t="shared" si="10"/>
        <v>0</v>
      </c>
      <c r="F77" s="230">
        <f t="shared" si="10"/>
        <v>0</v>
      </c>
      <c r="G77" s="230">
        <f t="shared" si="10"/>
        <v>0</v>
      </c>
      <c r="H77" s="230">
        <f t="shared" si="10"/>
        <v>0</v>
      </c>
      <c r="I77" s="230">
        <f t="shared" si="10"/>
        <v>0</v>
      </c>
      <c r="J77" s="230">
        <f t="shared" si="10"/>
        <v>0</v>
      </c>
      <c r="K77" s="230">
        <f t="shared" si="10"/>
        <v>0</v>
      </c>
      <c r="L77" s="230">
        <f t="shared" si="10"/>
        <v>0</v>
      </c>
    </row>
    <row r="78" spans="2:12" ht="14.25">
      <c r="B78" s="217" t="s">
        <v>185</v>
      </c>
      <c r="C78" s="218"/>
      <c r="D78" s="218"/>
      <c r="E78" s="218"/>
      <c r="F78" s="218"/>
      <c r="G78" s="218"/>
      <c r="H78" s="218"/>
      <c r="I78" s="218"/>
      <c r="J78" s="218"/>
      <c r="K78" s="218"/>
      <c r="L78" s="218"/>
    </row>
    <row r="79" spans="2:12" ht="14.25">
      <c r="B79" s="217" t="s">
        <v>186</v>
      </c>
      <c r="C79" s="218"/>
      <c r="D79" s="218"/>
      <c r="E79" s="218"/>
      <c r="F79" s="218"/>
      <c r="G79" s="218"/>
      <c r="H79" s="218"/>
      <c r="I79" s="218"/>
      <c r="J79" s="218"/>
      <c r="K79" s="218"/>
      <c r="L79" s="218"/>
    </row>
    <row r="80" spans="2:12" ht="14.25">
      <c r="B80" s="217" t="s">
        <v>140</v>
      </c>
      <c r="C80" s="218"/>
      <c r="D80" s="218"/>
      <c r="E80" s="218"/>
      <c r="F80" s="218"/>
      <c r="G80" s="218"/>
      <c r="H80" s="218"/>
      <c r="I80" s="218"/>
      <c r="J80" s="218"/>
      <c r="K80" s="218"/>
      <c r="L80" s="218"/>
    </row>
    <row r="81" spans="2:12" ht="14.25">
      <c r="B81" s="217" t="s">
        <v>187</v>
      </c>
      <c r="C81" s="218"/>
      <c r="D81" s="218"/>
      <c r="E81" s="218"/>
      <c r="F81" s="218"/>
      <c r="G81" s="218"/>
      <c r="H81" s="218"/>
      <c r="I81" s="218"/>
      <c r="J81" s="218"/>
      <c r="K81" s="218"/>
      <c r="L81" s="218"/>
    </row>
    <row r="82" spans="2:12" ht="14.25">
      <c r="B82" s="217" t="s">
        <v>139</v>
      </c>
      <c r="C82" s="218"/>
      <c r="D82" s="218"/>
      <c r="E82" s="218"/>
      <c r="F82" s="218"/>
      <c r="G82" s="218"/>
      <c r="H82" s="218"/>
      <c r="I82" s="218"/>
      <c r="J82" s="218"/>
      <c r="K82" s="218"/>
      <c r="L82" s="218"/>
    </row>
    <row r="83" spans="2:12" ht="14.25">
      <c r="B83" s="229" t="s">
        <v>189</v>
      </c>
      <c r="C83" s="230">
        <f aca="true" t="shared" si="11" ref="C83:L83">IF(C84&gt;0,1/(IF(C85&gt;0,C86/C85,0)+IF(C87&gt;0,C88/C87,0)+(1-SUM(C86,C88))/C84),0)</f>
        <v>0</v>
      </c>
      <c r="D83" s="230">
        <f t="shared" si="11"/>
        <v>0</v>
      </c>
      <c r="E83" s="230">
        <f t="shared" si="11"/>
        <v>0</v>
      </c>
      <c r="F83" s="230">
        <f t="shared" si="11"/>
        <v>0</v>
      </c>
      <c r="G83" s="230">
        <f t="shared" si="11"/>
        <v>0</v>
      </c>
      <c r="H83" s="230">
        <f t="shared" si="11"/>
        <v>0</v>
      </c>
      <c r="I83" s="230">
        <f t="shared" si="11"/>
        <v>0</v>
      </c>
      <c r="J83" s="230">
        <f t="shared" si="11"/>
        <v>0</v>
      </c>
      <c r="K83" s="230">
        <f t="shared" si="11"/>
        <v>0</v>
      </c>
      <c r="L83" s="230">
        <f t="shared" si="11"/>
        <v>0</v>
      </c>
    </row>
    <row r="84" spans="2:12" ht="14.25">
      <c r="B84" s="217" t="s">
        <v>185</v>
      </c>
      <c r="C84" s="218"/>
      <c r="D84" s="218"/>
      <c r="E84" s="218"/>
      <c r="F84" s="218"/>
      <c r="G84" s="218"/>
      <c r="H84" s="218"/>
      <c r="I84" s="218"/>
      <c r="J84" s="218"/>
      <c r="K84" s="218"/>
      <c r="L84" s="218"/>
    </row>
    <row r="85" spans="2:12" ht="14.25">
      <c r="B85" s="217" t="s">
        <v>186</v>
      </c>
      <c r="C85" s="218"/>
      <c r="D85" s="218"/>
      <c r="E85" s="218"/>
      <c r="F85" s="218"/>
      <c r="G85" s="218"/>
      <c r="H85" s="218"/>
      <c r="I85" s="218"/>
      <c r="J85" s="218"/>
      <c r="K85" s="218"/>
      <c r="L85" s="218"/>
    </row>
    <row r="86" spans="2:12" ht="14.25">
      <c r="B86" s="217" t="s">
        <v>140</v>
      </c>
      <c r="C86" s="218"/>
      <c r="D86" s="218"/>
      <c r="E86" s="218"/>
      <c r="F86" s="218"/>
      <c r="G86" s="218"/>
      <c r="H86" s="218"/>
      <c r="I86" s="218"/>
      <c r="J86" s="218"/>
      <c r="K86" s="218"/>
      <c r="L86" s="218"/>
    </row>
    <row r="87" spans="2:12" ht="14.25">
      <c r="B87" s="217" t="s">
        <v>187</v>
      </c>
      <c r="C87" s="218"/>
      <c r="D87" s="218"/>
      <c r="E87" s="218"/>
      <c r="F87" s="218"/>
      <c r="G87" s="218"/>
      <c r="H87" s="218"/>
      <c r="I87" s="218"/>
      <c r="J87" s="218"/>
      <c r="K87" s="218"/>
      <c r="L87" s="218"/>
    </row>
    <row r="88" spans="2:12" ht="14.25">
      <c r="B88" s="217" t="s">
        <v>139</v>
      </c>
      <c r="C88" s="218"/>
      <c r="D88" s="218"/>
      <c r="E88" s="218"/>
      <c r="F88" s="218"/>
      <c r="G88" s="218"/>
      <c r="H88" s="218"/>
      <c r="I88" s="218"/>
      <c r="J88" s="218"/>
      <c r="K88" s="218"/>
      <c r="L88" s="218"/>
    </row>
    <row r="89" ht="12.75"/>
    <row r="90" ht="12.75"/>
    <row r="91" spans="2:12" ht="63" customHeight="1">
      <c r="B91" s="337" t="s">
        <v>151</v>
      </c>
      <c r="C91" s="364"/>
      <c r="D91" s="364"/>
      <c r="E91" s="364"/>
      <c r="F91" s="364"/>
      <c r="G91" s="365"/>
      <c r="H91" s="365"/>
      <c r="I91" s="365"/>
      <c r="J91" s="365"/>
      <c r="K91" s="365"/>
      <c r="L91" s="366"/>
    </row>
    <row r="92" ht="12.75"/>
    <row r="93" spans="2:12" ht="12.75">
      <c r="B93" s="234" t="s">
        <v>147</v>
      </c>
      <c r="C93" s="219"/>
      <c r="D93" s="219"/>
      <c r="E93" s="219"/>
      <c r="F93" s="219"/>
      <c r="G93" s="219"/>
      <c r="H93" s="219"/>
      <c r="I93" s="219"/>
      <c r="J93" s="219"/>
      <c r="K93" s="219"/>
      <c r="L93" s="220"/>
    </row>
    <row r="94" spans="2:12" ht="12.75">
      <c r="B94" s="225"/>
      <c r="C94" s="221"/>
      <c r="D94" s="221"/>
      <c r="E94" s="221"/>
      <c r="F94" s="221"/>
      <c r="G94" s="221"/>
      <c r="H94" s="221"/>
      <c r="I94" s="221"/>
      <c r="J94" s="221"/>
      <c r="K94" s="221"/>
      <c r="L94" s="222"/>
    </row>
    <row r="95" spans="2:12" ht="14.25">
      <c r="B95" s="226" t="s">
        <v>141</v>
      </c>
      <c r="C95" s="223">
        <f>C10</f>
        <v>0.37381718346253234</v>
      </c>
      <c r="D95" s="223">
        <f aca="true" t="shared" si="12" ref="D95:L95">D10</f>
        <v>0</v>
      </c>
      <c r="E95" s="223">
        <f t="shared" si="12"/>
        <v>0</v>
      </c>
      <c r="F95" s="223">
        <f t="shared" si="12"/>
        <v>0</v>
      </c>
      <c r="G95" s="223">
        <f t="shared" si="12"/>
        <v>0</v>
      </c>
      <c r="H95" s="223">
        <f t="shared" si="12"/>
        <v>0</v>
      </c>
      <c r="I95" s="223">
        <f t="shared" si="12"/>
        <v>0</v>
      </c>
      <c r="J95" s="223">
        <f t="shared" si="12"/>
        <v>0</v>
      </c>
      <c r="K95" s="223">
        <f t="shared" si="12"/>
        <v>0</v>
      </c>
      <c r="L95" s="223">
        <f t="shared" si="12"/>
        <v>0</v>
      </c>
    </row>
    <row r="96" spans="2:12" ht="14.25">
      <c r="B96" s="226" t="s">
        <v>142</v>
      </c>
      <c r="C96" s="223">
        <f>C52</f>
        <v>0.17600000000000002</v>
      </c>
      <c r="D96" s="223">
        <f aca="true" t="shared" si="13" ref="D96:L96">D52</f>
        <v>0</v>
      </c>
      <c r="E96" s="223">
        <f t="shared" si="13"/>
        <v>0</v>
      </c>
      <c r="F96" s="223">
        <f t="shared" si="13"/>
        <v>0</v>
      </c>
      <c r="G96" s="223">
        <f t="shared" si="13"/>
        <v>0</v>
      </c>
      <c r="H96" s="223">
        <f t="shared" si="13"/>
        <v>0</v>
      </c>
      <c r="I96" s="223">
        <f t="shared" si="13"/>
        <v>0</v>
      </c>
      <c r="J96" s="223">
        <f t="shared" si="13"/>
        <v>0</v>
      </c>
      <c r="K96" s="223">
        <f t="shared" si="13"/>
        <v>0</v>
      </c>
      <c r="L96" s="223">
        <f t="shared" si="13"/>
        <v>0</v>
      </c>
    </row>
    <row r="97" spans="2:12" ht="15.75">
      <c r="B97" s="226" t="s">
        <v>193</v>
      </c>
      <c r="C97" s="224">
        <f>'Calculate R-value'!D12</f>
        <v>4</v>
      </c>
      <c r="D97" s="224" t="str">
        <f>'Calculate R-value'!E12</f>
        <v>Not used</v>
      </c>
      <c r="E97" s="224" t="str">
        <f>'Calculate R-value'!F12</f>
        <v>Not used</v>
      </c>
      <c r="F97" s="224" t="str">
        <f>'Calculate R-value'!G12</f>
        <v>Not used</v>
      </c>
      <c r="G97" s="224" t="str">
        <f>'Calculate R-value'!H12</f>
        <v>Not used</v>
      </c>
      <c r="H97" s="224" t="str">
        <f>'Calculate R-value'!I12</f>
        <v>Not used</v>
      </c>
      <c r="I97" s="224" t="str">
        <f>'Calculate R-value'!J12</f>
        <v>Not used</v>
      </c>
      <c r="J97" s="224" t="str">
        <f>'Calculate R-value'!K12</f>
        <v>Not used</v>
      </c>
      <c r="K97" s="224" t="str">
        <f>'Calculate R-value'!L12</f>
        <v>Not used</v>
      </c>
      <c r="L97" s="224" t="str">
        <f>'Calculate R-value'!M12</f>
        <v>Not used</v>
      </c>
    </row>
    <row r="98" ht="12.75"/>
    <row r="99" spans="2:12" ht="14.25">
      <c r="B99" s="224" t="s">
        <v>194</v>
      </c>
      <c r="C99" s="223">
        <f>IF(AND((C95+C96)&gt;0,ISNUMBER(C97)),C95+C96+C97,"")</f>
        <v>4.549817183462532</v>
      </c>
      <c r="D99" s="223">
        <f aca="true" t="shared" si="14" ref="D99:L99">IF(AND((D95+D96)&gt;0,ISNUMBER(D97)),D95+D96+D97,"")</f>
      </c>
      <c r="E99" s="223">
        <f t="shared" si="14"/>
      </c>
      <c r="F99" s="223">
        <f t="shared" si="14"/>
      </c>
      <c r="G99" s="223">
        <f t="shared" si="14"/>
      </c>
      <c r="H99" s="223">
        <f t="shared" si="14"/>
      </c>
      <c r="I99" s="223">
        <f t="shared" si="14"/>
      </c>
      <c r="J99" s="223">
        <f t="shared" si="14"/>
      </c>
      <c r="K99" s="223">
        <f t="shared" si="14"/>
      </c>
      <c r="L99" s="223">
        <f t="shared" si="14"/>
      </c>
    </row>
    <row r="100" ht="12.75"/>
    <row r="101" spans="1:3" ht="12.75">
      <c r="A101" s="235"/>
      <c r="C101" s="236"/>
    </row>
    <row r="102" spans="1:3" ht="12.75">
      <c r="A102" s="235"/>
      <c r="B102" s="235"/>
      <c r="C102" s="236"/>
    </row>
    <row r="103" ht="12.75">
      <c r="C103" s="232"/>
    </row>
    <row r="104" ht="12.75">
      <c r="C104" s="232"/>
    </row>
  </sheetData>
  <sheetProtection password="EFE1" sheet="1"/>
  <mergeCells count="6">
    <mergeCell ref="B91:L91"/>
    <mergeCell ref="B1:L1"/>
    <mergeCell ref="C50:L50"/>
    <mergeCell ref="B2:L2"/>
    <mergeCell ref="C8:L8"/>
    <mergeCell ref="B4:L4"/>
  </mergeCells>
  <dataValidations count="1">
    <dataValidation type="decimal" operator="greaterThanOrEqual" allowBlank="1" showInputMessage="1" showErrorMessage="1" sqref="C60:L64 C66:L70 C72:L76 C78:L82 C84:L88 C11:L16 C18:L22 C42:L46 C36:L40 C30:L34 C24:L28 C53:L58">
      <formula1>0</formula1>
    </dataValidation>
  </dataValidations>
  <printOptions/>
  <pageMargins left="0.75" right="0.75" top="1" bottom="1" header="0.5" footer="0.5"/>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B87"/>
  <sheetViews>
    <sheetView zoomScalePageLayoutView="0" workbookViewId="0" topLeftCell="A52">
      <selection activeCell="A88" sqref="A88"/>
    </sheetView>
  </sheetViews>
  <sheetFormatPr defaultColWidth="9.140625" defaultRowHeight="12.75"/>
  <cols>
    <col min="2" max="2" width="10.140625" style="0" bestFit="1" customWidth="1"/>
  </cols>
  <sheetData>
    <row r="1" spans="1:2" ht="12.75">
      <c r="A1" t="s">
        <v>143</v>
      </c>
      <c r="B1" s="231">
        <v>40493</v>
      </c>
    </row>
    <row r="5" ht="12.75">
      <c r="A5" t="s">
        <v>138</v>
      </c>
    </row>
    <row r="6" ht="12.75">
      <c r="A6" t="s">
        <v>144</v>
      </c>
    </row>
    <row r="10" ht="12.75">
      <c r="A10" t="s">
        <v>146</v>
      </c>
    </row>
    <row r="11" ht="12.75">
      <c r="A11" t="s">
        <v>6</v>
      </c>
    </row>
    <row r="12" ht="12.75">
      <c r="A12" t="s">
        <v>4</v>
      </c>
    </row>
    <row r="13" ht="12.75">
      <c r="A13" t="s">
        <v>5</v>
      </c>
    </row>
    <row r="14" ht="12.75">
      <c r="A14" t="s">
        <v>9</v>
      </c>
    </row>
    <row r="15" ht="12.75">
      <c r="A15" t="s">
        <v>8</v>
      </c>
    </row>
    <row r="16" ht="12.75">
      <c r="A16" t="s">
        <v>7</v>
      </c>
    </row>
    <row r="17" ht="12.75">
      <c r="A17" t="s">
        <v>145</v>
      </c>
    </row>
    <row r="18" ht="12.75">
      <c r="A18" t="s">
        <v>148</v>
      </c>
    </row>
    <row r="21" ht="12.75">
      <c r="A21" t="s">
        <v>152</v>
      </c>
    </row>
    <row r="23" ht="12.75">
      <c r="A23" t="s">
        <v>157</v>
      </c>
    </row>
    <row r="24" ht="12.75">
      <c r="A24" t="s">
        <v>154</v>
      </c>
    </row>
    <row r="25" ht="12.75">
      <c r="A25" t="s">
        <v>155</v>
      </c>
    </row>
    <row r="26" ht="12.75">
      <c r="A26" t="s">
        <v>156</v>
      </c>
    </row>
    <row r="28" ht="12.75">
      <c r="A28" t="s">
        <v>157</v>
      </c>
    </row>
    <row r="29" ht="12.75">
      <c r="A29" t="s">
        <v>154</v>
      </c>
    </row>
    <row r="30" ht="12.75">
      <c r="A30" t="s">
        <v>155</v>
      </c>
    </row>
    <row r="31" ht="12.75">
      <c r="A31" t="s">
        <v>156</v>
      </c>
    </row>
    <row r="33" ht="12.75">
      <c r="A33" t="s">
        <v>171</v>
      </c>
    </row>
    <row r="34" ht="12.75">
      <c r="A34" t="s">
        <v>172</v>
      </c>
    </row>
    <row r="36" ht="12.75">
      <c r="A36" t="s">
        <v>173</v>
      </c>
    </row>
    <row r="37" ht="12.75">
      <c r="A37" t="s">
        <v>174</v>
      </c>
    </row>
    <row r="39" ht="12.75">
      <c r="A39" t="s">
        <v>175</v>
      </c>
    </row>
    <row r="40" ht="12.75">
      <c r="A40" t="s">
        <v>160</v>
      </c>
    </row>
    <row r="41" ht="12.75">
      <c r="A41" t="s">
        <v>161</v>
      </c>
    </row>
    <row r="42" ht="12.75">
      <c r="A42" t="s">
        <v>163</v>
      </c>
    </row>
    <row r="43" ht="12.75">
      <c r="A43" t="s">
        <v>164</v>
      </c>
    </row>
    <row r="45" ht="12.75">
      <c r="A45" t="s">
        <v>177</v>
      </c>
    </row>
    <row r="46" ht="12.75">
      <c r="A46" t="s">
        <v>176</v>
      </c>
    </row>
    <row r="47" ht="12.75">
      <c r="A47" t="s">
        <v>178</v>
      </c>
    </row>
    <row r="48" ht="12.75">
      <c r="A48" t="s">
        <v>198</v>
      </c>
    </row>
    <row r="50" ht="12.75">
      <c r="A50" t="s">
        <v>205</v>
      </c>
    </row>
    <row r="51" ht="12.75">
      <c r="A51" t="s">
        <v>206</v>
      </c>
    </row>
    <row r="53" ht="12.75">
      <c r="A53" t="s">
        <v>214</v>
      </c>
    </row>
    <row r="54" spans="1:2" ht="15.75">
      <c r="A54" s="256" t="s">
        <v>215</v>
      </c>
      <c r="B54" s="257"/>
    </row>
    <row r="56" ht="12.75">
      <c r="A56" s="262" t="s">
        <v>219</v>
      </c>
    </row>
    <row r="57" ht="12.75">
      <c r="A57" s="262" t="s">
        <v>220</v>
      </c>
    </row>
    <row r="59" ht="12.75">
      <c r="A59" s="262" t="s">
        <v>221</v>
      </c>
    </row>
    <row r="60" ht="12.75">
      <c r="A60" s="262" t="s">
        <v>225</v>
      </c>
    </row>
    <row r="62" ht="12.75">
      <c r="A62" s="262" t="s">
        <v>224</v>
      </c>
    </row>
    <row r="63" ht="12.75">
      <c r="A63" s="262" t="s">
        <v>231</v>
      </c>
    </row>
    <row r="64" ht="12.75">
      <c r="A64" s="262" t="s">
        <v>232</v>
      </c>
    </row>
    <row r="66" ht="12.75">
      <c r="A66" s="262" t="s">
        <v>235</v>
      </c>
    </row>
    <row r="67" ht="12.75">
      <c r="A67" s="262" t="s">
        <v>238</v>
      </c>
    </row>
    <row r="68" ht="12.75">
      <c r="A68" s="262" t="s">
        <v>239</v>
      </c>
    </row>
    <row r="70" ht="12.75">
      <c r="A70" s="262" t="s">
        <v>240</v>
      </c>
    </row>
    <row r="71" ht="12.75">
      <c r="A71" s="262" t="s">
        <v>241</v>
      </c>
    </row>
    <row r="72" ht="12.75">
      <c r="A72" s="262" t="s">
        <v>244</v>
      </c>
    </row>
    <row r="73" ht="12.75">
      <c r="A73" s="262" t="s">
        <v>245</v>
      </c>
    </row>
    <row r="75" ht="12.75">
      <c r="A75" s="262" t="s">
        <v>246</v>
      </c>
    </row>
    <row r="76" ht="12.75">
      <c r="A76" s="262" t="s">
        <v>247</v>
      </c>
    </row>
    <row r="78" ht="12.75">
      <c r="A78" s="262" t="s">
        <v>283</v>
      </c>
    </row>
    <row r="79" ht="12.75">
      <c r="A79" s="262" t="s">
        <v>257</v>
      </c>
    </row>
    <row r="80" ht="12.75">
      <c r="A80" s="262" t="s">
        <v>278</v>
      </c>
    </row>
    <row r="81" ht="12.75">
      <c r="A81" s="262" t="s">
        <v>281</v>
      </c>
    </row>
    <row r="83" ht="12.75">
      <c r="A83" s="262" t="s">
        <v>282</v>
      </c>
    </row>
    <row r="84" ht="12.75">
      <c r="A84" s="262" t="s">
        <v>284</v>
      </c>
    </row>
    <row r="86" ht="12.75">
      <c r="A86" s="262" t="s">
        <v>289</v>
      </c>
    </row>
    <row r="87" ht="12.75">
      <c r="A87" s="262" t="s">
        <v>290</v>
      </c>
    </row>
  </sheetData>
  <sheetProtection password="EFE1" sheet="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Aberdeen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dc:creator>
  <cp:keywords/>
  <dc:description>R-value calculation tool for recognised Dynamic Insulation products to be input into the Standard Assessment Procedure (UK National Calculational Methodology for dwellings).</dc:description>
  <cp:lastModifiedBy>Will Griffiths</cp:lastModifiedBy>
  <cp:lastPrinted>2010-12-03T13:27:12Z</cp:lastPrinted>
  <dcterms:created xsi:type="dcterms:W3CDTF">2010-06-17T13:32:38Z</dcterms:created>
  <dcterms:modified xsi:type="dcterms:W3CDTF">2014-06-09T11:37:32Z</dcterms:modified>
  <cp:category/>
  <cp:version/>
  <cp:contentType/>
  <cp:contentStatus/>
</cp:coreProperties>
</file>