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Z:\Other BRE Folders\Data\SAP - Appendix Q &amp; PCDB\2. Scheme\2. Forms &amp; Proposals\Application Forms\Existing technology\Boilers\"/>
    </mc:Choice>
  </mc:AlternateContent>
  <xr:revisionPtr revIDLastSave="0" documentId="8_{8B38304B-B264-41C9-AD11-8DE758D84166}" xr6:coauthVersionLast="31" xr6:coauthVersionMax="31" xr10:uidLastSave="{00000000-0000-0000-0000-000000000000}"/>
  <workbookProtection workbookAlgorithmName="SHA-512" workbookHashValue="PTGmnkerTxPM3T1jNdoQKiOUHO68rm68DSetowLmrdveWtQOI5tV5mbcNFhP/8lB/KEYpLJtmIpzKf1jGKqF8Q==" workbookSaltValue="HDyAjVH7vY3/vjmdeXTjFA==" workbookSpinCount="100000" lockStructure="1"/>
  <bookViews>
    <workbookView xWindow="0" yWindow="0" windowWidth="19200" windowHeight="11592" tabRatio="687" xr2:uid="{00000000-000D-0000-FFFF-FFFF00000000}"/>
  </bookViews>
  <sheets>
    <sheet name="Instructions" sheetId="9" r:id="rId1"/>
    <sheet name="Applicant Information" sheetId="10" r:id="rId2"/>
    <sheet name="Submission Form" sheetId="2" r:id="rId3"/>
    <sheet name="Tables" sheetId="15" state="hidden" r:id="rId4"/>
    <sheet name="Lists" sheetId="5" state="hidden" r:id="rId5"/>
    <sheet name="Compens. control compatibility" sheetId="13" r:id="rId6"/>
    <sheet name="Supporting info &amp; declaration" sheetId="3" r:id="rId7"/>
    <sheet name="Change Log" sheetId="11" r:id="rId8"/>
    <sheet name="Table 372 - Features" sheetId="12" state="hidden" r:id="rId9"/>
    <sheet name="HEX CODE GENERATOR" sheetId="14" state="hidden" r:id="rId10"/>
    <sheet name="Years" sheetId="6" state="hidden" r:id="rId11"/>
    <sheet name="ErP declared data" sheetId="1" state="hidden" r:id="rId12"/>
    <sheet name="BED information" sheetId="7" state="hidden" r:id="rId13"/>
  </sheets>
  <definedNames>
    <definedName name="_xlnm._FilterDatabase" localSheetId="2" hidden="1">'Submission Form'!$A$1:$F$99</definedName>
    <definedName name="Basis">Lists!$F$77:$F$79</definedName>
    <definedName name="Boiler_Type_BED">Lists!$E$101:$E$104</definedName>
    <definedName name="Boiler_Type_BED_Lookup">Lists!$E$102:$G$104</definedName>
    <definedName name="Burner_Type">Lists!$E$66:$E$68</definedName>
    <definedName name="Burner_Type_Lookup">Lists!$E$67:$G$68</definedName>
    <definedName name="Condensing">Lists!$E$49:$E$51</definedName>
    <definedName name="Condensing_Lookup">Lists!$E$50:$G$51</definedName>
    <definedName name="DHW_Elecco">Lists!$E$182:$F$186</definedName>
    <definedName name="DHW_FuelEnergyParam">Lists!$E$175:$F$179</definedName>
    <definedName name="DHW_Test_Standard">Lists!$E$176:$E$179</definedName>
    <definedName name="DHW_Tests">Lists!$E$169:$E$173</definedName>
    <definedName name="DHW_Tests_Lookup">Lists!$E$170:$G$173</definedName>
    <definedName name="DHW_WastedW">Lists!$E$188:$F$192</definedName>
    <definedName name="ErP_Class">Lists!$E$107:$E$114</definedName>
    <definedName name="ErP_Class_Water">Lists!$F$106:$F$114</definedName>
    <definedName name="ErP_DHW_LoadProfile">Lists!$E$116:$E$123</definedName>
    <definedName name="ErP_Qfuel">'Submission Form'!$D$52</definedName>
    <definedName name="Fan">Lists!$E$58:$E$60</definedName>
    <definedName name="Fan_Lookup">Lists!$E$59:$F$60</definedName>
    <definedName name="Final_year">Years!$B$2:$B$45</definedName>
    <definedName name="First_Year">Years!$A$2:$A$43</definedName>
    <definedName name="Flue_Type">Lists!$E$53:$E$56</definedName>
    <definedName name="Flue_Type_Lookup">Lists!$E$54:$G$56</definedName>
    <definedName name="Fuel_Lookup">Lists!$E$12:$G$14</definedName>
    <definedName name="Fuels">Lists!$E$11:$E$14</definedName>
    <definedName name="IHWS">Lists!$E$82:$E$84</definedName>
    <definedName name="Keep_Hot">Lists!$E$155:$E$160</definedName>
    <definedName name="Keep_Hot_Lookup">Lists!$E$156:$G$160</definedName>
    <definedName name="Keep_Hot_Timer">Lists!$E$162:$E$165</definedName>
    <definedName name="Keep_Hot_Timer_Lookup">Lists!$E$163:$G$165</definedName>
    <definedName name="LPG_Condens_Uplift_Lookup">Lists!$E$97:$G$99</definedName>
    <definedName name="LPG_Condense_Standard">Lists!$E$92:$E$94</definedName>
    <definedName name="LPG_Condense_Uplift">Lists!$E$96:$E$99</definedName>
    <definedName name="LPG_Test">Lists!$E$87:$E$90</definedName>
    <definedName name="LPG_Test_Lookup">Lists!$E$88:$G$90</definedName>
    <definedName name="Main_Type">Lists!$E$44:$E$47</definedName>
    <definedName name="Main_Type_Lookup">Lists!$E$45:$G$47</definedName>
    <definedName name="PFGHRD">Lists!$E$72:$E$74</definedName>
    <definedName name="PFGHRD_Lookup">Lists!$E$73:$G$74</definedName>
    <definedName name="Pilot">Lists!$E$62:$E$64</definedName>
    <definedName name="Pilot_Lookup">Lists!$E$63:$G$64</definedName>
    <definedName name="Position">Lists!$E$34:$E$38</definedName>
    <definedName name="Position_Lookup">Lists!$E$35:$F$38</definedName>
    <definedName name="_xlnm.Print_Titles" localSheetId="2">'Submission Form'!$2:$2</definedName>
    <definedName name="Rating">Lists!$E$40:$E$42</definedName>
    <definedName name="Rating_Lookup">Lists!$E$41:$F$42</definedName>
    <definedName name="Separate_Store">Lists!$E$150:$E$153</definedName>
    <definedName name="Separate_Store_Lookup">Lists!$E$151:$G$153</definedName>
    <definedName name="Store_Insulant">Lists!$E$139:$E$146</definedName>
    <definedName name="Store_Insulant_Lookup">Lists!$E$140:$G$146</definedName>
    <definedName name="Store_Loss">Lists!$E$132:$E$135</definedName>
    <definedName name="Store_Loss_Lookup">Lists!$E$133:$G$135</definedName>
    <definedName name="Store_Type">Lists!$E$126:$E$130</definedName>
    <definedName name="Store_Type_Lookup">Lists!$E$127:$G$130</definedName>
    <definedName name="YES_NO">Lists!$F$199:$F$201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9" i="2" l="1"/>
  <c r="B28" i="2"/>
  <c r="D1" i="10" l="1"/>
  <c r="C44" i="2" l="1"/>
  <c r="D45" i="2"/>
  <c r="A6" i="13" l="1"/>
  <c r="E10" i="15"/>
  <c r="D42" i="2" l="1"/>
  <c r="C80" i="2"/>
  <c r="C79" i="2"/>
  <c r="C76" i="2"/>
  <c r="C75" i="2"/>
  <c r="C78" i="2" l="1"/>
  <c r="C74" i="2"/>
  <c r="C72" i="2"/>
  <c r="C65" i="2"/>
  <c r="C94" i="2"/>
  <c r="B27" i="15" l="1"/>
  <c r="B26" i="15" l="1"/>
  <c r="E26" i="15"/>
  <c r="E27" i="15" l="1"/>
  <c r="C27" i="15"/>
  <c r="D27" i="15" s="1"/>
  <c r="C26" i="15"/>
  <c r="D26" i="15" s="1"/>
  <c r="H27" i="15"/>
  <c r="G27" i="15"/>
  <c r="H26" i="15"/>
  <c r="G26" i="15"/>
  <c r="F10" i="15"/>
  <c r="D21" i="15"/>
  <c r="D20" i="15"/>
  <c r="D19" i="15"/>
  <c r="D18" i="15"/>
  <c r="H18" i="15" s="1"/>
  <c r="H21" i="15" s="1"/>
  <c r="G21" i="15" s="1"/>
  <c r="F11" i="15" s="1"/>
  <c r="D13" i="15"/>
  <c r="H13" i="15" s="1"/>
  <c r="D12" i="15"/>
  <c r="G12" i="15" s="1"/>
  <c r="D11" i="15"/>
  <c r="H11" i="15" s="1"/>
  <c r="J10" i="15"/>
  <c r="I10" i="15"/>
  <c r="D10" i="15"/>
  <c r="H10" i="15" s="1"/>
  <c r="F18" i="15" l="1"/>
  <c r="F19" i="15" s="1"/>
  <c r="E19" i="15" s="1"/>
  <c r="G10" i="15"/>
  <c r="G13" i="15"/>
  <c r="F21" i="15"/>
  <c r="E21" i="15" s="1"/>
  <c r="E11" i="15" s="1"/>
  <c r="F27" i="15"/>
  <c r="K27" i="15" s="1"/>
  <c r="I27" i="15"/>
  <c r="F26" i="15"/>
  <c r="K26" i="15" s="1"/>
  <c r="G11" i="15"/>
  <c r="H20" i="15"/>
  <c r="G20" i="15" s="1"/>
  <c r="H12" i="15"/>
  <c r="H19" i="15"/>
  <c r="G19" i="15" s="1"/>
  <c r="F20" i="15" l="1"/>
  <c r="E20" i="15" s="1"/>
  <c r="F13" i="15"/>
  <c r="F12" i="15"/>
  <c r="P27" i="15" s="1"/>
  <c r="J27" i="15"/>
  <c r="L27" i="15" s="1"/>
  <c r="M27" i="15" s="1"/>
  <c r="J26" i="15"/>
  <c r="I26" i="15"/>
  <c r="E12" i="15" l="1"/>
  <c r="P26" i="15" s="1"/>
  <c r="E13" i="15"/>
  <c r="L26" i="15"/>
  <c r="M26" i="15" s="1"/>
  <c r="N26" i="15" s="1"/>
  <c r="N27" i="15"/>
  <c r="O27" i="15" s="1"/>
  <c r="Q27" i="15" s="1"/>
  <c r="O26" i="15" l="1"/>
  <c r="Q26" i="15" s="1"/>
  <c r="A7" i="13" l="1"/>
  <c r="C27" i="2"/>
  <c r="C26" i="2"/>
  <c r="C25" i="2"/>
  <c r="C24" i="2"/>
  <c r="Z3" i="14"/>
  <c r="K3" i="14"/>
  <c r="J3" i="14"/>
  <c r="S3" i="14" s="1"/>
  <c r="I3" i="14"/>
  <c r="R3" i="14" s="1"/>
  <c r="H3" i="14"/>
  <c r="Q3" i="14" s="1"/>
  <c r="N6" i="12"/>
  <c r="AJ3" i="14" s="1"/>
  <c r="M6" i="12"/>
  <c r="AI3" i="14" s="1"/>
  <c r="L6" i="12"/>
  <c r="AH3" i="14" s="1"/>
  <c r="K6" i="12"/>
  <c r="AG3" i="14" s="1"/>
  <c r="J6" i="12"/>
  <c r="AF3" i="14" s="1"/>
  <c r="I6" i="12"/>
  <c r="AE3" i="14" s="1"/>
  <c r="H6" i="12"/>
  <c r="AD3" i="14" s="1"/>
  <c r="G6" i="12"/>
  <c r="AC3" i="14" s="1"/>
  <c r="F6" i="12"/>
  <c r="AB3" i="14" s="1"/>
  <c r="E6" i="12"/>
  <c r="AA3" i="14" s="1"/>
  <c r="C6" i="12"/>
  <c r="Y3" i="14" s="1"/>
  <c r="B6" i="12"/>
  <c r="X3" i="14" s="1"/>
  <c r="A6" i="12"/>
  <c r="W3" i="14" s="1"/>
  <c r="T3" i="14" l="1"/>
  <c r="G3" i="14" l="1"/>
  <c r="D3" i="14" l="1"/>
  <c r="M3" i="14" s="1"/>
  <c r="P3" i="14"/>
  <c r="E6" i="10" l="1"/>
  <c r="E7" i="10"/>
  <c r="E8" i="10"/>
  <c r="E9" i="10"/>
  <c r="E10" i="10"/>
  <c r="E11" i="10"/>
  <c r="E12" i="10"/>
  <c r="E13" i="10"/>
  <c r="E14" i="10"/>
  <c r="E15" i="10"/>
  <c r="D2" i="3" l="1"/>
  <c r="D1" i="2"/>
  <c r="C69" i="2" l="1"/>
  <c r="C68" i="2"/>
  <c r="C67" i="2"/>
  <c r="C66" i="2"/>
  <c r="C64" i="2"/>
  <c r="C63" i="2"/>
  <c r="C62" i="2"/>
  <c r="C61" i="2"/>
  <c r="C60" i="2"/>
  <c r="C58" i="2"/>
  <c r="B57" i="2"/>
  <c r="C59" i="2"/>
  <c r="D84" i="2" l="1"/>
  <c r="D85" i="2"/>
  <c r="D86" i="2"/>
  <c r="B71" i="2"/>
  <c r="C98" i="2" l="1"/>
  <c r="C97" i="2"/>
  <c r="C96" i="2"/>
  <c r="C93" i="2"/>
  <c r="C95" i="2"/>
  <c r="C92" i="2"/>
  <c r="C87" i="2"/>
  <c r="C88" i="2"/>
  <c r="C89" i="2"/>
  <c r="C90" i="2"/>
  <c r="C85" i="2"/>
  <c r="C86" i="2"/>
  <c r="C84" i="2"/>
  <c r="C91" i="2"/>
  <c r="C83" i="2"/>
  <c r="C208" i="5" l="1"/>
  <c r="C207" i="5"/>
  <c r="C206" i="5"/>
  <c r="C35" i="2"/>
  <c r="C36" i="2"/>
  <c r="C73" i="2" l="1"/>
  <c r="C77" i="2"/>
  <c r="B89" i="2" l="1"/>
  <c r="B87" i="2"/>
  <c r="B88" i="2"/>
  <c r="C43" i="2"/>
  <c r="E46" i="2" l="1"/>
  <c r="E3" i="10" l="1"/>
  <c r="E4" i="10"/>
  <c r="E41" i="2" l="1"/>
  <c r="E40" i="2"/>
  <c r="E30" i="2"/>
  <c r="E31" i="2"/>
  <c r="E32" i="2"/>
  <c r="E59" i="2"/>
  <c r="E80" i="2" l="1"/>
  <c r="E79" i="2"/>
  <c r="E78" i="2"/>
  <c r="E76" i="2"/>
  <c r="E75" i="2" l="1"/>
  <c r="E74" i="2"/>
  <c r="E71" i="2"/>
  <c r="E68" i="2"/>
  <c r="E69" i="2"/>
  <c r="E67" i="2"/>
  <c r="E66" i="2"/>
  <c r="E65" i="2"/>
  <c r="E64" i="2"/>
  <c r="E63" i="2"/>
  <c r="E61" i="2"/>
  <c r="E56" i="2"/>
  <c r="E55" i="2"/>
  <c r="E62" i="2"/>
  <c r="E54" i="2"/>
  <c r="E58" i="2"/>
  <c r="E45" i="2"/>
  <c r="E43" i="2"/>
  <c r="E36" i="2"/>
  <c r="E35" i="2"/>
  <c r="E16" i="2" l="1"/>
  <c r="E21" i="2" l="1"/>
  <c r="E20" i="2"/>
  <c r="E19" i="2"/>
  <c r="E18" i="2"/>
  <c r="E17" i="2"/>
  <c r="E14" i="2"/>
  <c r="E15" i="2"/>
  <c r="E13" i="2"/>
  <c r="E10" i="2"/>
  <c r="E9" i="2"/>
  <c r="E6" i="2"/>
  <c r="E7" i="2"/>
  <c r="E5" i="2"/>
  <c r="E4" i="2"/>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 i="6"/>
  <c r="E12" i="2"/>
  <c r="E3" i="14"/>
  <c r="N3" i="14" s="1"/>
  <c r="F3" i="14"/>
  <c r="O3" i="14" s="1"/>
  <c r="A3" i="14" l="1"/>
  <c r="B3" i="14" s="1"/>
  <c r="E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 Griffiths</author>
  </authors>
  <commentList>
    <comment ref="B2" authorId="0" shapeId="0" xr:uid="{BD49A478-E036-4C10-A7AE-3E9B38F91E85}">
      <text>
        <r>
          <rPr>
            <sz val="9"/>
            <color indexed="81"/>
            <rFont val="Tahoma"/>
            <charset val="1"/>
          </rPr>
          <t xml:space="preserve">Generally this field is "No" if any other field is selected, with the exception of "OpenTherm certified"
</t>
        </r>
      </text>
    </comment>
  </commentList>
</comments>
</file>

<file path=xl/sharedStrings.xml><?xml version="1.0" encoding="utf-8"?>
<sst xmlns="http://schemas.openxmlformats.org/spreadsheetml/2006/main" count="1006" uniqueCount="671">
  <si>
    <t>ErP fiche fields - pertinent to boiler space heaters and boiler combination heaters</t>
  </si>
  <si>
    <t>E Field</t>
  </si>
  <si>
    <t>Model(s): [information identifying the model(s) to which the information relates]</t>
  </si>
  <si>
    <t>Condensing boiler: [yes/no]</t>
  </si>
  <si>
    <t>Low-temperature (**) boiler: [yes/no]</t>
  </si>
  <si>
    <t>B1 boiler: [yes/no]</t>
  </si>
  <si>
    <t>Combination heater: [yes/no]</t>
  </si>
  <si>
    <t>Rated heat output</t>
  </si>
  <si>
    <t>Prated</t>
  </si>
  <si>
    <t>kW</t>
  </si>
  <si>
    <t>Useful heat output At rated heat output and high-temperature regime (*)</t>
  </si>
  <si>
    <r>
      <t>P</t>
    </r>
    <r>
      <rPr>
        <i/>
        <vertAlign val="subscript"/>
        <sz val="11"/>
        <color theme="1"/>
        <rFont val="Arial"/>
        <family val="2"/>
      </rPr>
      <t>4</t>
    </r>
  </si>
  <si>
    <t>Useful heat output At 30 % of rated heat output and low-temperature regime (**)</t>
  </si>
  <si>
    <r>
      <t>P</t>
    </r>
    <r>
      <rPr>
        <i/>
        <vertAlign val="subscript"/>
        <sz val="11"/>
        <color theme="1"/>
        <rFont val="Arial"/>
        <family val="2"/>
      </rPr>
      <t>1</t>
    </r>
  </si>
  <si>
    <t>Seasonal space heating energy efficiency</t>
  </si>
  <si>
    <r>
      <t>η</t>
    </r>
    <r>
      <rPr>
        <i/>
        <vertAlign val="subscript"/>
        <sz val="11"/>
        <color theme="1"/>
        <rFont val="Arial"/>
        <family val="2"/>
      </rPr>
      <t>s</t>
    </r>
  </si>
  <si>
    <t>%</t>
  </si>
  <si>
    <t>Useful efficiency At rated heat output and high-temperature regime (*)</t>
  </si>
  <si>
    <r>
      <rPr>
        <i/>
        <sz val="11"/>
        <color theme="1"/>
        <rFont val="Arial"/>
        <family val="2"/>
      </rPr>
      <t>η</t>
    </r>
    <r>
      <rPr>
        <i/>
        <vertAlign val="subscript"/>
        <sz val="11"/>
        <color theme="1"/>
        <rFont val="Arial"/>
        <family val="2"/>
      </rPr>
      <t>4</t>
    </r>
  </si>
  <si>
    <t>Useful efficiency At 30 % of rated heat output and low-temperature regime (**)</t>
  </si>
  <si>
    <r>
      <t>η</t>
    </r>
    <r>
      <rPr>
        <i/>
        <vertAlign val="subscript"/>
        <sz val="11"/>
        <color theme="1"/>
        <rFont val="Arial"/>
        <family val="2"/>
      </rPr>
      <t>1</t>
    </r>
  </si>
  <si>
    <t>Supplementary heater Rated heat output</t>
  </si>
  <si>
    <r>
      <t>P</t>
    </r>
    <r>
      <rPr>
        <i/>
        <vertAlign val="subscript"/>
        <sz val="11"/>
        <color theme="1"/>
        <rFont val="Arial"/>
        <family val="2"/>
      </rPr>
      <t>sup</t>
    </r>
  </si>
  <si>
    <t>Type of energy input</t>
  </si>
  <si>
    <t>Auxiliary electricity consumption At full load</t>
  </si>
  <si>
    <t>elmax</t>
  </si>
  <si>
    <t>Auxiliary electricity consumption At part load</t>
  </si>
  <si>
    <t>elmin</t>
  </si>
  <si>
    <t>Auxiliary electricity consumption In standby mode</t>
  </si>
  <si>
    <r>
      <t>P</t>
    </r>
    <r>
      <rPr>
        <i/>
        <vertAlign val="subscript"/>
        <sz val="11"/>
        <color theme="1"/>
        <rFont val="Arial"/>
        <family val="2"/>
      </rPr>
      <t>SB</t>
    </r>
  </si>
  <si>
    <t>Standby heat loss</t>
  </si>
  <si>
    <r>
      <t>P</t>
    </r>
    <r>
      <rPr>
        <i/>
        <vertAlign val="subscript"/>
        <sz val="11"/>
        <color theme="1"/>
        <rFont val="Arial"/>
        <family val="2"/>
      </rPr>
      <t>stby</t>
    </r>
  </si>
  <si>
    <t>Ignition burner power consumption</t>
  </si>
  <si>
    <r>
      <t>P</t>
    </r>
    <r>
      <rPr>
        <i/>
        <vertAlign val="subscript"/>
        <sz val="11"/>
        <color theme="1"/>
        <rFont val="Arial"/>
        <family val="2"/>
      </rPr>
      <t>ign</t>
    </r>
  </si>
  <si>
    <t>Emissions of nitrogen oxides</t>
  </si>
  <si>
    <t>NOx</t>
  </si>
  <si>
    <t>mg/kWh</t>
  </si>
  <si>
    <t>For combination heaters</t>
  </si>
  <si>
    <t>Declared load profile</t>
  </si>
  <si>
    <t>Daily electricity consumption</t>
  </si>
  <si>
    <r>
      <t>Q</t>
    </r>
    <r>
      <rPr>
        <i/>
        <vertAlign val="subscript"/>
        <sz val="11"/>
        <color theme="1"/>
        <rFont val="Arial"/>
        <family val="2"/>
      </rPr>
      <t>elec</t>
    </r>
  </si>
  <si>
    <t>kWh</t>
  </si>
  <si>
    <t>Water heating energy efficiency</t>
  </si>
  <si>
    <r>
      <t>η</t>
    </r>
    <r>
      <rPr>
        <i/>
        <vertAlign val="subscript"/>
        <sz val="11"/>
        <color theme="1"/>
        <rFont val="Arial"/>
        <family val="2"/>
      </rPr>
      <t>wh</t>
    </r>
  </si>
  <si>
    <t>Daily fuel consumption</t>
  </si>
  <si>
    <r>
      <t>Q</t>
    </r>
    <r>
      <rPr>
        <i/>
        <vertAlign val="subscript"/>
        <sz val="11"/>
        <color theme="1"/>
        <rFont val="Arial"/>
        <family val="2"/>
      </rPr>
      <t>fuel</t>
    </r>
  </si>
  <si>
    <t>Name of the manufacturer or its authorised representative.</t>
  </si>
  <si>
    <t>Address of the manufacturer or its authorised representative.</t>
  </si>
  <si>
    <t>Gap/Overlap analysis</t>
  </si>
  <si>
    <t>PCDB data fields for boilers</t>
  </si>
  <si>
    <t>Entry No.</t>
  </si>
  <si>
    <t>Max. permitted number of characters/ digits including spaces</t>
  </si>
  <si>
    <t>Entry Name / content description</t>
  </si>
  <si>
    <t>Entry</t>
  </si>
  <si>
    <t>Code</t>
  </si>
  <si>
    <t>6*</t>
  </si>
  <si>
    <t>Brand Name</t>
  </si>
  <si>
    <t>This may be the manufacturer / producer name or a marketing brand name</t>
  </si>
  <si>
    <t>7*</t>
  </si>
  <si>
    <t>Model Name</t>
  </si>
  <si>
    <t>Model qualifier</t>
  </si>
  <si>
    <t>Boiler ID</t>
  </si>
  <si>
    <t>First year of manufacture</t>
  </si>
  <si>
    <t>11*</t>
  </si>
  <si>
    <t>Final year of manufacture</t>
  </si>
  <si>
    <t>12*</t>
  </si>
  <si>
    <t>Fuel</t>
  </si>
  <si>
    <t>If the same boiler may be used with more than one type of fuel, then a separate entry is required for each fuel type.</t>
  </si>
  <si>
    <t>Fuels</t>
  </si>
  <si>
    <t>Mounting position</t>
  </si>
  <si>
    <t>Position</t>
  </si>
  <si>
    <t>Floor</t>
  </si>
  <si>
    <t>Wall</t>
  </si>
  <si>
    <t>Either floor or wall</t>
  </si>
  <si>
    <t>Back boiler</t>
  </si>
  <si>
    <t>Exposure rating</t>
  </si>
  <si>
    <t>15*</t>
  </si>
  <si>
    <t>Main Type</t>
  </si>
  <si>
    <t>Definitions are as per SAP 2012 Appendix D, D1</t>
  </si>
  <si>
    <r>
      <t>Regular</t>
    </r>
    <r>
      <rPr>
        <sz val="10"/>
        <color rgb="FF4D4F53"/>
        <rFont val="Arial"/>
        <family val="2"/>
      </rPr>
      <t xml:space="preserve"> - a boiler which does not have the capability to provide DHW directly.</t>
    </r>
  </si>
  <si>
    <r>
      <t>CPSU</t>
    </r>
    <r>
      <rPr>
        <sz val="10"/>
        <color rgb="FF4D4F53"/>
        <rFont val="Arial"/>
        <family val="2"/>
      </rPr>
      <t xml:space="preserve"> – combined primary storage unit, is an appliance incorporating a burner that heats an IHWS, which is designed to provide both space heating and DHW.   This store shall be at least 70 litres.</t>
    </r>
  </si>
  <si>
    <t>16*</t>
  </si>
  <si>
    <t>Condensing</t>
  </si>
  <si>
    <t>Definitions as per SAP 2012 App D</t>
  </si>
  <si>
    <r>
      <t>Non-condensing</t>
    </r>
    <r>
      <rPr>
        <sz val="10"/>
        <color rgb="FF4D4F53"/>
        <rFont val="Arial"/>
        <family val="2"/>
      </rPr>
      <t xml:space="preserve"> - Non-condensing means condensation is not intended [by design] within the boiler.</t>
    </r>
  </si>
  <si>
    <r>
      <t xml:space="preserve">Condensing </t>
    </r>
    <r>
      <rPr>
        <sz val="10"/>
        <color rgb="FF4D4F53"/>
        <rFont val="Arial"/>
        <family val="2"/>
      </rPr>
      <t>- Condensing means a boiler designed to make use of the latent heat in the combustion products by condensing water vapour within the appliance.  The boiler must allow the condensate to leave the heat exchanger in liquid form by way of a condensate drain.</t>
    </r>
  </si>
  <si>
    <t>17*</t>
  </si>
  <si>
    <t>Flue Type</t>
  </si>
  <si>
    <r>
      <t>Open flued</t>
    </r>
    <r>
      <rPr>
        <sz val="10"/>
        <color rgb="FF4D4F53"/>
        <rFont val="Arial"/>
        <family val="2"/>
      </rPr>
      <t xml:space="preserve"> - The boiler will take its combustion air from the room, and discharge outside of the room</t>
    </r>
  </si>
  <si>
    <r>
      <t>Room sealed</t>
    </r>
    <r>
      <rPr>
        <sz val="10"/>
        <color rgb="FF4D4F53"/>
        <rFont val="Arial"/>
        <family val="2"/>
      </rPr>
      <t xml:space="preserve"> - The boiler air supply and point of discharge of the flue system are outside of the room in which the boiler is installed.</t>
    </r>
  </si>
  <si>
    <r>
      <t>Either</t>
    </r>
    <r>
      <rPr>
        <sz val="10"/>
        <color rgb="FF4D4F53"/>
        <rFont val="Arial"/>
        <family val="2"/>
      </rPr>
      <t xml:space="preserve"> - The boiler can operate with either an open or a room-sealed flue and the dataplate makes no distinction.</t>
    </r>
  </si>
  <si>
    <t>18*</t>
  </si>
  <si>
    <t>Fan Assistance</t>
  </si>
  <si>
    <t>A fan assisted boiler is a boiler with a fan designed to supply air or to remove products of combustion.</t>
  </si>
  <si>
    <t>No-fan</t>
  </si>
  <si>
    <t>Fan</t>
  </si>
  <si>
    <t>19*</t>
  </si>
  <si>
    <t>Ignition</t>
  </si>
  <si>
    <t>Whether or not the boiler has a permanent pilot light</t>
  </si>
  <si>
    <t>NO</t>
  </si>
  <si>
    <t>YES</t>
  </si>
  <si>
    <t>20*</t>
  </si>
  <si>
    <t>Burner Control</t>
  </si>
  <si>
    <t>Whether or not the boiler has the capability to vary the fuel burning rate while maintaining continuous firing</t>
  </si>
  <si>
    <t>Electrical Power</t>
  </si>
  <si>
    <t>Boiler on OR Firing</t>
  </si>
  <si>
    <t>Units</t>
  </si>
  <si>
    <t>The average electrical power consumed while the boiler is firing at its highest rating, in Watts.  This includes fans, motors, heaters and other electrical equipment but should exclude any pump used to circulate water outside the boiler.</t>
  </si>
  <si>
    <t>Boiler off OR Not-Firing</t>
  </si>
  <si>
    <t>The average electrical power consumed while the boiler is adjusted to fire at its highest rating (but is not firing), in Watts. This includes fans, motors, heaters and other electrical equipment but should exclude any pump used to circulate water outside the boiler</t>
  </si>
  <si>
    <t>Subsidiary Type</t>
  </si>
  <si>
    <t>24*</t>
  </si>
  <si>
    <t>Boiler Power (bottom of range)</t>
  </si>
  <si>
    <t>25*</t>
  </si>
  <si>
    <t>Boiler Power (top of range)</t>
  </si>
  <si>
    <t>26*</t>
  </si>
  <si>
    <t>5 (max 1dp)</t>
  </si>
  <si>
    <t>Full Load efficiency</t>
  </si>
  <si>
    <t>27*</t>
  </si>
  <si>
    <t>Part Load efficiency</t>
  </si>
  <si>
    <t>No field number in current forms*</t>
  </si>
  <si>
    <t>Internal Hot Water Store (IHWS)</t>
  </si>
  <si>
    <t>INCLUDED</t>
  </si>
  <si>
    <t>EXCLUDED</t>
  </si>
  <si>
    <t>This entry identifies LPG boilers for which efficiency test results from a NG derivative are submitted.</t>
  </si>
  <si>
    <t>blank</t>
  </si>
  <si>
    <r>
      <t>Test gas is LPG</t>
    </r>
    <r>
      <rPr>
        <sz val="10"/>
        <color rgb="FF4D4F53"/>
        <rFont val="Arial"/>
        <family val="2"/>
      </rPr>
      <t xml:space="preserve"> - If the efficiency tests from which seasonal efficiency was calculated were carried out using LPG test gas.</t>
    </r>
  </si>
  <si>
    <r>
      <t>Test gas is NG</t>
    </r>
    <r>
      <rPr>
        <sz val="10"/>
        <color rgb="FF4D4F53"/>
        <rFont val="Arial"/>
        <family val="2"/>
      </rPr>
      <t xml:space="preserve"> - If the efficiency tests from which seasonal efficiency was calculated were carried out using NG test gas and the modified calculation procedures (see SAP 2012).</t>
    </r>
  </si>
  <si>
    <r>
      <t>Not applicable</t>
    </r>
    <r>
      <rPr>
        <sz val="10"/>
        <color rgb="FF4D4F53"/>
        <rFont val="Arial"/>
        <family val="2"/>
      </rPr>
      <t xml:space="preserve"> – this is not an LPG condensing boiler</t>
    </r>
  </si>
  <si>
    <t>Blank</t>
  </si>
  <si>
    <t>Uplift included</t>
  </si>
  <si>
    <t>Uplift excluded</t>
  </si>
  <si>
    <t>33*</t>
  </si>
  <si>
    <t>Boiler type for ple test</t>
  </si>
  <si>
    <t>As defined in Schedule 2 of Statutory Instrument 1993 No 3083 (Energy Conservation) The Boiler (Efficiency) Regulations and Council Directive 92/42/EEC.</t>
  </si>
  <si>
    <t>ST = Standard</t>
  </si>
  <si>
    <r>
      <t>LT = Low-temp</t>
    </r>
    <r>
      <rPr>
        <sz val="10"/>
        <color rgb="FF4D4F53"/>
        <rFont val="Arial"/>
        <family val="2"/>
      </rPr>
      <t xml:space="preserve"> - Includes condensing boilers using liquid fuel</t>
    </r>
  </si>
  <si>
    <t>GC = Gas condensing</t>
  </si>
  <si>
    <t>Hot Water Store Information</t>
  </si>
  <si>
    <t>Store type</t>
  </si>
  <si>
    <t>Only relevant to Storage Combination Boilers</t>
  </si>
  <si>
    <r>
      <t>Primary</t>
    </r>
    <r>
      <rPr>
        <sz val="10"/>
        <color rgb="FF4D4F53"/>
        <rFont val="Arial"/>
        <family val="2"/>
      </rPr>
      <t xml:space="preserve"> - The heat store is principally Primary water</t>
    </r>
  </si>
  <si>
    <r>
      <t>Secondary</t>
    </r>
    <r>
      <rPr>
        <sz val="10"/>
        <color rgb="FF4D4F53"/>
        <rFont val="Arial"/>
        <family val="2"/>
      </rPr>
      <t xml:space="preserve"> - The heat store is principally Secondary water</t>
    </r>
  </si>
  <si>
    <r>
      <t>CPSU</t>
    </r>
    <r>
      <rPr>
        <sz val="10"/>
        <color rgb="FF4D4F53"/>
        <rFont val="Arial"/>
        <family val="2"/>
      </rPr>
      <t xml:space="preserve"> – A CPSU as defined in SAP 2012 Appendix D Section D1</t>
    </r>
  </si>
  <si>
    <t>Store loss in test</t>
  </si>
  <si>
    <t>For storage combination boilers ONLY whether the heat loss from the internal hot water store was EXCLUDED or INCLUDED</t>
  </si>
  <si>
    <t>Unknown</t>
  </si>
  <si>
    <t>Excluded</t>
  </si>
  <si>
    <t>Included</t>
  </si>
  <si>
    <t>Store volume</t>
  </si>
  <si>
    <t>Primary</t>
  </si>
  <si>
    <t>Secondary</t>
  </si>
  <si>
    <t>Store insulation thickness</t>
  </si>
  <si>
    <t>Store insulation type</t>
  </si>
  <si>
    <t>Mineral wool</t>
  </si>
  <si>
    <t>Polyurethane foam</t>
  </si>
  <si>
    <t>Fibreglass</t>
  </si>
  <si>
    <t xml:space="preserve">Closest to mineral wool </t>
  </si>
  <si>
    <t>Closest to polyurethane foam</t>
  </si>
  <si>
    <t>Closest to fibreglass</t>
  </si>
  <si>
    <t>Store temperature</t>
  </si>
  <si>
    <t>Store heat loss</t>
  </si>
  <si>
    <t>Separate Store</t>
  </si>
  <si>
    <t>Included - If the hot water store is within the boiler casing (an “internal hot water store”)</t>
  </si>
  <si>
    <t>Excluded - If the hot water store is outside the boiler casing</t>
  </si>
  <si>
    <t>Keep-Hot Facility</t>
  </si>
  <si>
    <t>Only relevant to Instantaneous Combination Boilers.</t>
  </si>
  <si>
    <t>“Keep-hot” Timer</t>
  </si>
  <si>
    <t>Only relevant to Instantaneous Combination Boilers</t>
  </si>
  <si>
    <t>Unknown/Not Applicable</t>
  </si>
  <si>
    <t>“Keep-hot” Electric Heater</t>
  </si>
  <si>
    <t>Store solar volume</t>
  </si>
  <si>
    <t>Separate DHW tests</t>
  </si>
  <si>
    <t>Fuel energy for HW test 1</t>
  </si>
  <si>
    <t>Electrical energy for HW test 1</t>
  </si>
  <si>
    <t>Wasted Water in HW test 1</t>
  </si>
  <si>
    <t>Fuel energy for HW test 2</t>
  </si>
  <si>
    <t>Electrical energy for HW test 2</t>
  </si>
  <si>
    <t>Wasted Water for HW Test 2</t>
  </si>
  <si>
    <t>A1</t>
  </si>
  <si>
    <t>A2</t>
  </si>
  <si>
    <t>A3</t>
  </si>
  <si>
    <t>A4</t>
  </si>
  <si>
    <t>A5</t>
  </si>
  <si>
    <t>A6</t>
  </si>
  <si>
    <t>A7</t>
  </si>
  <si>
    <t>B1</t>
  </si>
  <si>
    <t xml:space="preserve">NG Model Name </t>
  </si>
  <si>
    <t>B2</t>
  </si>
  <si>
    <t>NG Model Qualifier (test data for which to be basis of LPG entry)</t>
  </si>
  <si>
    <t>B3</t>
  </si>
  <si>
    <t>NG Model Heat Input</t>
  </si>
  <si>
    <t>B4</t>
  </si>
  <si>
    <t>LPG Model Heat Input</t>
  </si>
  <si>
    <t>B5</t>
  </si>
  <si>
    <t>B6</t>
  </si>
  <si>
    <t>Regular</t>
  </si>
  <si>
    <t>Combination</t>
  </si>
  <si>
    <t>CPSU</t>
  </si>
  <si>
    <t>Non-condensing</t>
  </si>
  <si>
    <t>Open flued</t>
  </si>
  <si>
    <t>Room sealed</t>
  </si>
  <si>
    <t>Either</t>
  </si>
  <si>
    <t>This field is intended for the purpose of indicating the presence of special features.
Note.  Submissions for PFGHRD (passive flue gas heat recovery device) can be made using this form only if; the boiler is an instantaneous (not storage) combi AND hot water test results are provided.
For other PFGHRD configurations applications must be made using the standard form available from the NCM PCDB website.</t>
  </si>
  <si>
    <t>Only relevant to Storage Combination Boilers.
Defines the material used to insulate the internal hot water store.
For other specialist insulants use the material of closest thermal conductivity.</t>
  </si>
  <si>
    <t>Options</t>
  </si>
  <si>
    <t>If unknown provide estimate</t>
  </si>
  <si>
    <t>For products in production at the time of submission enter “current”
For products no longer produced at the time of submission enter the final year of manufacture. If this is unknown enter an estimate OR “obsolete”.</t>
  </si>
  <si>
    <t>Select a fuel</t>
  </si>
  <si>
    <t xml:space="preserve">Indoor only </t>
  </si>
  <si>
    <t>Select a type</t>
  </si>
  <si>
    <t>Select type</t>
  </si>
  <si>
    <t>Does have the capability to vary the fuel burning rate while maintaining continuous firing</t>
  </si>
  <si>
    <t>Does NOT have the capability to vary the fuel burning rate while maintaining continuous firing</t>
  </si>
  <si>
    <t>Burner Type</t>
  </si>
  <si>
    <t>Select a configuration</t>
  </si>
  <si>
    <t>Exposure Rating</t>
  </si>
  <si>
    <t>Select environment</t>
  </si>
  <si>
    <t>-</t>
  </si>
  <si>
    <t>First year</t>
  </si>
  <si>
    <t>Final year</t>
  </si>
  <si>
    <t>Current</t>
  </si>
  <si>
    <t>Obsolete</t>
  </si>
  <si>
    <t>Select a year</t>
  </si>
  <si>
    <t>Select</t>
  </si>
  <si>
    <t>DB text or Code</t>
  </si>
  <si>
    <t>Pilot</t>
  </si>
  <si>
    <t>On-Off</t>
  </si>
  <si>
    <t>Variable</t>
  </si>
  <si>
    <t>There is NOT a permanent pilot light</t>
  </si>
  <si>
    <t>There IS a permanent pilot light</t>
  </si>
  <si>
    <t>Select type of burner control</t>
  </si>
  <si>
    <t>Normal</t>
  </si>
  <si>
    <t>Boiler does not have special features</t>
  </si>
  <si>
    <t>With integrated PFGHRD</t>
  </si>
  <si>
    <t> - Boiler has an integrated PFGHRD .</t>
  </si>
  <si>
    <t>PFGHRD</t>
  </si>
  <si>
    <t>Select configuration</t>
  </si>
  <si>
    <t>Entry 24 and 25 have particular relevance for range rated boilers. A range rated boiler is one where the nominal rated output is not fixed in the factory and which can be set by a qualified engineer to a range of values.
For range rated boiler this should be the minimum output power of the range declared by the manufacturer.
For a boiler with a single nominal rated output, this figure should be the nominal output power (to water) of the boiler in kW.  (Note: If the boiler is modulating then this power MUST be the same as the Boiler Power (top of range) as recorded in Entry 25)
Boilers with heat outputs greater than 70kW are not permitted on the database.</t>
  </si>
  <si>
    <t>This is the certified net efficiency at full load (as defined in Schedule 2 of the Boiler Efficiency Directive).</t>
  </si>
  <si>
    <t>IHWS</t>
  </si>
  <si>
    <t>Not an LPG boiler</t>
  </si>
  <si>
    <t>Not applicable</t>
  </si>
  <si>
    <t>Test gas is LPG</t>
  </si>
  <si>
    <t>Test gas is NG</t>
  </si>
  <si>
    <t>LPG_Test</t>
  </si>
  <si>
    <t>LPG_Condense_Uplift</t>
  </si>
  <si>
    <t>Boiler_Type_BED</t>
  </si>
  <si>
    <t>Standard</t>
  </si>
  <si>
    <t>Low-temp</t>
  </si>
  <si>
    <t>Gas condensing</t>
  </si>
  <si>
    <t>For LPG condensing boilers only. Whether or not the certified net boiler efficiency reported for the LPG condensing boiler includes the 2.4% uplift as defined in EN677</t>
  </si>
  <si>
    <t>Store_Type</t>
  </si>
  <si>
    <t>Store_Loss</t>
  </si>
  <si>
    <t>If storage combi select</t>
  </si>
  <si>
    <t>If the total store volume is less than 15 litres, the boiler can ONLY be recognised as an instantaneous combi - this means you MUST NOT fill in Entries 38, 39, 40, 41, 42, 43 and 44
If the total store volume is greater than 15 litres, the boiler can ONLY be classified as a storage combi</t>
  </si>
  <si>
    <t>Only relevant to Storage Combination Boilers.
For other specialist insulants use the material of closest thermal conductivity.
Defines the material used to insulate the internal hot water store.</t>
  </si>
  <si>
    <t>Select the appropriate insulant</t>
  </si>
  <si>
    <t>Store_Insulant</t>
  </si>
  <si>
    <t>Only relevant to Storage Combination Boilers
The average temperature of the hot water in contact with the exterior walls of the internal hot water store.  The boiler shall be at its WINTER setting.
If unknown leave blank</t>
  </si>
  <si>
    <t>Only relevant to Storage Combination Boilers
Enter the measured heat loss from the IHWS.  Where this data is supplied, it shall be validated using the Boiler Type &amp; Data Validation Form.
If unknown leave blank</t>
  </si>
  <si>
    <t>Separate_Store</t>
  </si>
  <si>
    <t>Select store status</t>
  </si>
  <si>
    <t>Keep_Hot</t>
  </si>
  <si>
    <t>Keep_Hot_Timer</t>
  </si>
  <si>
    <t>Not Applicable</t>
  </si>
  <si>
    <t>Fuelled by gas/oil only</t>
  </si>
  <si>
    <t>Powered by electric</t>
  </si>
  <si>
    <t>Powered by gas &amp; electric</t>
  </si>
  <si>
    <t>Select Keep-Hot control type</t>
  </si>
  <si>
    <t>No Control</t>
  </si>
  <si>
    <t>Timer</t>
  </si>
  <si>
    <t>Select Keep-Hot energy source</t>
  </si>
  <si>
    <t>Only relevant to Combination Boilers.
NOTE: Test results must be provided by a suitable Notified Body or laboratory accredited against ISO 17025 for the relevant Standards. Results must be for Hot water tests carried out on a combi boiler in accordance with EN 13203-2 (gas) or OPS 26 (oil).</t>
  </si>
  <si>
    <t>DHW_Tests</t>
  </si>
  <si>
    <t>Select which tests have been done</t>
  </si>
  <si>
    <t>YES_NO</t>
  </si>
  <si>
    <t>Are the “Master” AND the “Badged” models both currently in production and made in the same factory?</t>
  </si>
  <si>
    <t>Boiler type for part load efficiency test</t>
  </si>
  <si>
    <t>Gas  [natural gas (mains gas) only]</t>
  </si>
  <si>
    <t>LPG [butane or propane]</t>
  </si>
  <si>
    <t>Oil [kerosene, or gas oil only]</t>
  </si>
  <si>
    <t>This is the certified net efficiency at part load (as defined in Schedule 2 of the Boiler Efficiency Directive).</t>
  </si>
  <si>
    <t>NOTE: Test results must be provided by a suitable Notified Body or laboratory accredited against ISO 17025 for the relevant Standards. Results must be for Hot water tests carried out on a combi boiler in accordance with EN 13203-2 (gas) or OPS 26 (oil).</t>
  </si>
  <si>
    <t>Is the boiler in the submission a 'badged' version of the model tested?</t>
  </si>
  <si>
    <t>Branded model "Brand Name"</t>
  </si>
  <si>
    <t>Branded Model "Model Name"</t>
  </si>
  <si>
    <t>Branded Model "Model Qualifier"</t>
  </si>
  <si>
    <t>Test gas for LPG </t>
  </si>
  <si>
    <t>LPG Condensing Boiler Uplift </t>
  </si>
  <si>
    <r>
      <t>Concentration of CO</t>
    </r>
    <r>
      <rPr>
        <vertAlign val="subscript"/>
        <sz val="10"/>
        <color theme="1" tint="0.249977111117893"/>
        <rFont val="Arial"/>
        <family val="2"/>
      </rPr>
      <t>2</t>
    </r>
    <r>
      <rPr>
        <sz val="10"/>
        <color theme="1" tint="0.249977111117893"/>
        <rFont val="Arial"/>
        <family val="2"/>
      </rPr>
      <t xml:space="preserve"> in dry air at the max. nominal heat input firing NG (V</t>
    </r>
    <r>
      <rPr>
        <vertAlign val="subscript"/>
        <sz val="10"/>
        <color theme="1" tint="0.249977111117893"/>
        <rFont val="Arial"/>
        <family val="2"/>
      </rPr>
      <t>NG</t>
    </r>
    <r>
      <rPr>
        <sz val="10"/>
        <color theme="1" tint="0.249977111117893"/>
        <rFont val="Arial"/>
        <family val="2"/>
      </rPr>
      <t>)</t>
    </r>
  </si>
  <si>
    <r>
      <t>Concentration of CO</t>
    </r>
    <r>
      <rPr>
        <vertAlign val="subscript"/>
        <sz val="10"/>
        <color theme="1" tint="0.249977111117893"/>
        <rFont val="Arial"/>
        <family val="2"/>
      </rPr>
      <t>2</t>
    </r>
    <r>
      <rPr>
        <sz val="10"/>
        <color theme="1" tint="0.249977111117893"/>
        <rFont val="Arial"/>
        <family val="2"/>
      </rPr>
      <t xml:space="preserve"> in dry air at the max. nominal heat input firing LPG (V</t>
    </r>
    <r>
      <rPr>
        <vertAlign val="subscript"/>
        <sz val="10"/>
        <color theme="1" tint="0.249977111117893"/>
        <rFont val="Arial"/>
        <family val="2"/>
      </rPr>
      <t>LP</t>
    </r>
    <r>
      <rPr>
        <sz val="10"/>
        <color theme="1" tint="0.249977111117893"/>
        <rFont val="Arial"/>
        <family val="2"/>
      </rPr>
      <t>)</t>
    </r>
  </si>
  <si>
    <r>
      <t>Auxiliary electricity consumption in standby mode (</t>
    </r>
    <r>
      <rPr>
        <i/>
        <sz val="10"/>
        <color theme="1" tint="0.249977111117893"/>
        <rFont val="Arial"/>
        <family val="2"/>
      </rPr>
      <t>P</t>
    </r>
    <r>
      <rPr>
        <i/>
        <vertAlign val="subscript"/>
        <sz val="10"/>
        <color theme="1" tint="0.249977111117893"/>
        <rFont val="Arial"/>
        <family val="2"/>
      </rPr>
      <t>SB</t>
    </r>
    <r>
      <rPr>
        <sz val="10"/>
        <color theme="1" tint="0.249977111117893"/>
        <rFont val="Arial"/>
        <family val="2"/>
      </rPr>
      <t>)</t>
    </r>
  </si>
  <si>
    <t>A0</t>
  </si>
  <si>
    <t>PRODUCT IDENTIFICATION</t>
  </si>
  <si>
    <t>PRODUCT AVAILABILITY</t>
  </si>
  <si>
    <t>PRODUCT GENERAL CHARACTERISTICS</t>
  </si>
  <si>
    <t>E1</t>
  </si>
  <si>
    <t>E2</t>
  </si>
  <si>
    <t>E3</t>
  </si>
  <si>
    <t>FuelID</t>
  </si>
  <si>
    <t>FuelDescription</t>
  </si>
  <si>
    <t>Boiler</t>
  </si>
  <si>
    <t>SolidFuelBoiler</t>
  </si>
  <si>
    <t>CookerBoiler</t>
  </si>
  <si>
    <t>CoGenBoiler</t>
  </si>
  <si>
    <t>1</t>
  </si>
  <si>
    <t>1 - Gas</t>
  </si>
  <si>
    <t>10</t>
  </si>
  <si>
    <t>10 - dual fuel appliance (mineral and wood)</t>
  </si>
  <si>
    <t>11</t>
  </si>
  <si>
    <t>11 - House Coal</t>
  </si>
  <si>
    <t>12</t>
  </si>
  <si>
    <t>12 - Smokeless Fuel</t>
  </si>
  <si>
    <t>13</t>
  </si>
  <si>
    <t>Anthracite Nuts</t>
  </si>
  <si>
    <t>14</t>
  </si>
  <si>
    <t>Anthracite Grains</t>
  </si>
  <si>
    <t>15</t>
  </si>
  <si>
    <t>15 - Anthracite</t>
  </si>
  <si>
    <t>2</t>
  </si>
  <si>
    <t>2 - LPG</t>
  </si>
  <si>
    <t>20</t>
  </si>
  <si>
    <t>20 - Wood Logs</t>
  </si>
  <si>
    <t>21</t>
  </si>
  <si>
    <t>21 - Wood Chips</t>
  </si>
  <si>
    <t>22</t>
  </si>
  <si>
    <t>22 - Wood Pellets (Secondary heating)</t>
  </si>
  <si>
    <t>23</t>
  </si>
  <si>
    <t>23 - Wood Pellets (main heating)</t>
  </si>
  <si>
    <t>3</t>
  </si>
  <si>
    <t>3 - Bottled LPG</t>
  </si>
  <si>
    <t>4</t>
  </si>
  <si>
    <t>4 - Oil</t>
  </si>
  <si>
    <t>71</t>
  </si>
  <si>
    <t>71 - biodiesel from any biomass source</t>
  </si>
  <si>
    <t>72</t>
  </si>
  <si>
    <t>72 - biodiesel from used cooking oil</t>
  </si>
  <si>
    <t>73</t>
  </si>
  <si>
    <t>73 - rapeseed oil</t>
  </si>
  <si>
    <t>74</t>
  </si>
  <si>
    <t>74 - apps able to use mineral oil/liquid biofuel</t>
  </si>
  <si>
    <t>75</t>
  </si>
  <si>
    <t>75 - B30K</t>
  </si>
  <si>
    <t>76</t>
  </si>
  <si>
    <t>76 - bioethanol</t>
  </si>
  <si>
    <t>8</t>
  </si>
  <si>
    <t>8 - LNG</t>
  </si>
  <si>
    <t>9</t>
  </si>
  <si>
    <t>9 - Special LPG</t>
  </si>
  <si>
    <t>'Years' sheet</t>
  </si>
  <si>
    <t>In the case of storage combination boilers it is necessary to establish whether or not the heat loss from the internal hot water store was included in the BED efficiency determination. </t>
  </si>
  <si>
    <t>IHWS Heat Loss measurement method </t>
  </si>
  <si>
    <r>
      <t xml:space="preserve">Entries 37, 38, 39, 40, 41, 42, 43 and 44 relate only to storage combination boilers. These entries must be left blank if the boiler is not a combination boiler or if it is a combination boiler with a total storage volume of less than 15 litres. </t>
    </r>
    <r>
      <rPr>
        <sz val="10"/>
        <color rgb="FF4D4F53"/>
        <rFont val="Arial"/>
        <family val="2"/>
      </rPr>
      <t> </t>
    </r>
  </si>
  <si>
    <t>0 </t>
  </si>
  <si>
    <t>Not Applicable - There is no “keep-hot” facility.</t>
  </si>
  <si>
    <t>Fuelled by gas/oil only - If there is a “keep-hot” facility fuelled by gas/oil only.</t>
  </si>
  <si>
    <t>Powered by electric - If there is a “keep-hot” facility powered by electricity.</t>
  </si>
  <si>
    <t>Powered by gas &amp; electric - If there is a “keep-hot” facility fuelled by gas and powered by electricity.</t>
  </si>
  <si>
    <t>No Control - There is no “keep-hot” timer.</t>
  </si>
  <si>
    <t>Timer - If there is a “keep-hot” timer which turns off the facility overnight.</t>
  </si>
  <si>
    <t>Not Applicable - There are no separate DHW tests. </t>
  </si>
  <si>
    <r>
      <t>Combination</t>
    </r>
    <r>
      <rPr>
        <sz val="10"/>
        <color rgb="FF4D4F53"/>
        <rFont val="Arial"/>
        <family val="2"/>
      </rPr>
      <t> - a boiler with a capability to provide DHW directly, in some cases incorporating an internal hot water store (IHWS) including:
- Instantaneous combination hot water boilers without an IHWS or with an IHWS not exceeding 15 litres [SAP (2005)]
- Storage combination boilers with an IHWS exceeding 15 litres but not exceeding 70 litres [SAP (2005)]
- Any other “combi” with an IHWS exceeding 70 litres that is not a CPSU</t>
    </r>
  </si>
  <si>
    <t>PRODUCT RATING</t>
  </si>
  <si>
    <t>DOMESTIC HOT WATER PRODUCTION</t>
  </si>
  <si>
    <t>BED</t>
  </si>
  <si>
    <t>Article 7 (2)</t>
  </si>
  <si>
    <t>2. The conformity of series-produced boilers shall be certified by:
— examination of the efficiency of a boiler type in accordance with module B as described in Annex III ,
— a declaration of conformity to the approved type in accordance with module C , D or E as described in Annex IV .
For boilers burning gaseous fuels, the procedures for assessing the conformity of their efficiency shall be those used to assess conformity to the safety requirements laid down in Directive 90 / 396 / EEC on the approximation of the laws of the Member States relating to appliances burning gaseous fuels .</t>
  </si>
  <si>
    <t>Directive 92/42/EEC should be repealed, except for Articles 7(2) and 8 thereof and Annexes III to V thereto</t>
  </si>
  <si>
    <t>COMMISSION REGULATION (EU) No 813/2013</t>
  </si>
  <si>
    <t>Article 8</t>
  </si>
  <si>
    <t>1 . Each Member State shall notify the Commission and the other Member States of the bodies it has appointed to carry out the tasks relating to the procedures referred to in Article 7 , hereinafter called 'notified bodies'. The Commission shall allocate identification numbers to those bodies and shall inform the Member States thereof. Lists of the notified bodies shall be published by the Council in the Official Journal of the European Communities and shall be continually updated.
2. Member States shall implement the minimum criteria laid down in Annex V for the appointment of such bodies. Bodies which satisfy the criteria laid down in the corresponding harmonized standards shall be deemed to comply with the criteria laid down in that Annex .
3 . A Member State which has notified a particular body must withdraw that notification if it finds that the body concerned no longer satisfies the criteria referred to in paragraph 2 . It shall immediately inform the other Member States and the Commission accordingly and shall withdraw the notification .</t>
  </si>
  <si>
    <t>Annex III</t>
  </si>
  <si>
    <t>Module B: EC type-examination
1 . This module describes that part of the procedure by which a notified body ascertains and attests that an example, representative of the production envisaged, meets the relevant provisions of the Directive .
2. The application for EC type-examination is lodged by the manufacturer or his authorized representative established within the Community with a notified body of his choice .
The application must include:
— the name and address of the manufacturer and, if the application is lodged by the authorized representative, the name and address in addition ,
— a written declaration that the same application has not been lodged with any other notified body,
— the technical documents, as described in section 3 .
The applicant must place at the disposal of the notified body an example representative of the production envisaged , hereinafter called 'type'. The notified body may request further examples if needed for carrying out the test programme.</t>
  </si>
  <si>
    <t>3 . The technical documents must enable the conformity of the appliance with the requirements of the Directive to be assessed. They must, as far as is relevant for such assessment , cover the design , manufacture and operation of the appliance and contain as far as is relevant for assessment:
— a general type-description ,
— conceptual design and manufacturing drawings and diagrams of components, sub-assemblies, circuits, etc.,
— descriptions and explanations necessary for the understanding of the drawings and diagrams and the operation of the product,
— a list of the standards referred to in Article 5 (2), applied in full or in part, and descriptions of the solutions adopted to meet the essential requirements of the Directive where the standards referred to in Article 5 have not been applied ,
— results of design calculations made, examinations carried out, etc.,
— test reports .</t>
  </si>
  <si>
    <t>4 . The notified body must:
4.1 . examine the technical documents , verify that the type has been manufactured in conformity with those documents and identify the elements which have been designed in accordance with the relevant provisions of the standards referred to in Article 5 (2) as well as the components which have been designed without applying the relevant provisions of those standards;
4.2 . perform or have performed the appropriate examinations and necessary tests to check whether, where the standards referred to in Article 5 (2) have not been applied , the solutions adopted by the manufacturer meet the essential requirements of the Directive;
4.3 . perform or have performed the appropriate examinations and necessary tests to check whether, where the manufacturer has chosen to apply the relevant standards, these have actually been applied;
4.4 . agree with the applicant the location where the examinations and necessary tests are to be carried out .</t>
  </si>
  <si>
    <t>5 . Where the type meets the relevant provisions of this Directive, the notified body issues an EC type-examination certificate to the applicant. The certificate contains the name and address of the manufacturer , the conclusion of the examination and necessary data for identification of the approved type.
A list of the relevant parts of the technical documents is annexed to the certificate and a copy kept by the notified body.
If the manufacturer or his authorized representative established in the Community is refused a type certificate, the notified body must provide detailed reasons for such refusal .
Provision must be made for an appeals procedure.</t>
  </si>
  <si>
    <t>6 . The applicant informs the notified body that holds the technical documents concerning the EC type-examination certificate of ail modifications to the approved appliance which must receive additional approval where such changes may affect the conformity with the essential requirements or the prescribed conditions for use of the product. This additional approval is given in the form of an addition to the original EC type-examination certificate.
7 . Each notified body must communicate to the other notified bodies the relevant information concerning the EC type-examination certificates and additions issued and withdrawn .
8 . The other notified bodies may receive copies of the EC type-examination certificates and / or their additions. The Annexes to the certificates must be kept at the disposal of the other notified bodies .
9 . The manufacturer or his authorized representative established within the Community must keep with the technical documents copies of EC type-examination certificates and their additions for a period of at least 10 years after the last date of manufacture of the product concerned. Where neither the manufacturer nor his authorized representative is established within the Community, the
obligation to keep the technical documents available is the responsibility of the person who places the product on the Community market.</t>
  </si>
  <si>
    <t>Annex V</t>
  </si>
  <si>
    <t>Minimum criteria to be taken into account by Member States for the notification of bodies</t>
  </si>
  <si>
    <t>PRODUCT PERFORMANCE</t>
  </si>
  <si>
    <t>On which basis have the efficiency values been determined?</t>
  </si>
  <si>
    <t>Basis</t>
  </si>
  <si>
    <t>NET</t>
  </si>
  <si>
    <t>GROSS</t>
  </si>
  <si>
    <t>NET to GROSS factor</t>
  </si>
  <si>
    <t>Select basis of efficiency</t>
  </si>
  <si>
    <t>If the total store volume is less than 15 litres, the boiler meets the PCDB definition for an instantaneous combi.
If the total store volume is greater than 15 litres, the boiler meets the PCDB definition of a storage combi.</t>
  </si>
  <si>
    <t>Select a position</t>
  </si>
  <si>
    <t>ELECTRICAL CONSUMPTION</t>
  </si>
  <si>
    <t>BADGED' BOILER INFORMATION</t>
  </si>
  <si>
    <t xml:space="preserve">One test, using Tapping Cycle 2 / Load Profile M </t>
  </si>
  <si>
    <t>Two tests, using Tapping cycles 2 &amp; 3 / Load Profiles M &amp; L</t>
  </si>
  <si>
    <t>Two tests, using Tapping cycles 2 &amp; 1 / Load Profiles M &amp; S</t>
  </si>
  <si>
    <t>Hot water test 1</t>
  </si>
  <si>
    <t>Source</t>
  </si>
  <si>
    <t>Product marking / labelling</t>
  </si>
  <si>
    <t>Applicant declaration</t>
  </si>
  <si>
    <t>ErP data fiche</t>
  </si>
  <si>
    <t>Applicant declaration supported by test report</t>
  </si>
  <si>
    <t>Test report</t>
  </si>
  <si>
    <t>Applicant declaration supported by product manual</t>
  </si>
  <si>
    <t>GAD test report</t>
  </si>
  <si>
    <t>Product manual</t>
  </si>
  <si>
    <t>Included (within the boiler case)</t>
  </si>
  <si>
    <t>Excluded (outside the boiler case)</t>
  </si>
  <si>
    <t>Source and supporting documents, images etc</t>
  </si>
  <si>
    <t>Initial type test report for BED compliance</t>
  </si>
  <si>
    <t>Initial type test report for GAD compliance</t>
  </si>
  <si>
    <t>Product installation, service, operating manual(s)</t>
  </si>
  <si>
    <t>Hot water production test report</t>
  </si>
  <si>
    <t>Photograph(s) showing the product identification marking</t>
  </si>
  <si>
    <t>Photograph(s) showing the location of identification marking</t>
  </si>
  <si>
    <t>Image of the product dataplate</t>
  </si>
  <si>
    <t>BED/CE certificate provided by a Notified Body, showing efficiencies measured at full and part load</t>
  </si>
  <si>
    <t>All gas or oil fired boilers</t>
  </si>
  <si>
    <t>LPG fired boilers tested on gas</t>
  </si>
  <si>
    <t>All gas or oil fired combination boilers</t>
  </si>
  <si>
    <t>Included with submission, YES or NO</t>
  </si>
  <si>
    <t>Name of file supplied</t>
  </si>
  <si>
    <t>Is the boiler in the submission 'range rated'?</t>
  </si>
  <si>
    <t>A range rated boiler is one where the nominal rated output is not fixed in the factory and which can be set by a qualified engineer to a range of values. Boilers with heat outputs greater than 70kW are not permitted on the database. However, boilers where the Boiler Power (bottom of range) is less than 70kW are permitted even if the Boiler Power (top of range) exceeds 70kW.</t>
  </si>
  <si>
    <t>Test report/certificate</t>
  </si>
  <si>
    <t>Initial type test report for BED compliance
OR
Initial type test report for GAD compliance</t>
  </si>
  <si>
    <t>INSTRUCTIONS</t>
  </si>
  <si>
    <t>Original Name</t>
  </si>
  <si>
    <t>Current Name</t>
  </si>
  <si>
    <t>Address</t>
  </si>
  <si>
    <t>Primary addressable object name</t>
  </si>
  <si>
    <t>Locality name</t>
  </si>
  <si>
    <t>Town/City name</t>
  </si>
  <si>
    <t>Administrative area name</t>
  </si>
  <si>
    <t>Postcode</t>
  </si>
  <si>
    <t>Country</t>
  </si>
  <si>
    <t>Only complete if NOT UK</t>
  </si>
  <si>
    <t>Telephone number</t>
  </si>
  <si>
    <t>Website address</t>
  </si>
  <si>
    <t>Internal location in business or building e.g. Design Division</t>
  </si>
  <si>
    <t>Within the UK - the county</t>
  </si>
  <si>
    <t>365 in total</t>
  </si>
  <si>
    <t>Guidance notes</t>
  </si>
  <si>
    <t>I am the Technical Director, or a person of similar authority, for the organisation making this submission, or, I have formal delegated authority from the Technical Director or equivalent to make declarations with regards to the product in this submission.</t>
  </si>
  <si>
    <t>Name</t>
  </si>
  <si>
    <t>Signature</t>
  </si>
  <si>
    <t>If required I have provided a letter of authority signed by the Technical Director, or a person of similar authority, for the organisation making this submission.</t>
  </si>
  <si>
    <t>Position and status</t>
  </si>
  <si>
    <t>I declare that the information in the 'Applicant Information' sheet and in the 'Submission Form' sheet is accurate.</t>
  </si>
  <si>
    <t>I have provided the supporting information listed below:</t>
  </si>
  <si>
    <t>Required for:</t>
  </si>
  <si>
    <r>
      <t xml:space="preserve">Applicants must ensure that the latest Workbook Format is completed for applications. This can be checked by visiting the website: </t>
    </r>
    <r>
      <rPr>
        <i/>
        <sz val="9"/>
        <color indexed="8"/>
        <rFont val="Arial"/>
        <family val="2"/>
      </rPr>
      <t>www.ncm-pcdb.org.uk/sap</t>
    </r>
    <r>
      <rPr>
        <sz val="11"/>
        <color theme="1"/>
        <rFont val="Calibri"/>
        <family val="2"/>
        <scheme val="minor"/>
      </rPr>
      <t xml:space="preserve"> </t>
    </r>
  </si>
  <si>
    <r>
      <t xml:space="preserve">Volume of Primary water store in </t>
    </r>
    <r>
      <rPr>
        <b/>
        <sz val="10"/>
        <color theme="1" tint="0.249977111117893"/>
        <rFont val="Arial"/>
        <family val="2"/>
      </rPr>
      <t>litres</t>
    </r>
  </si>
  <si>
    <r>
      <t xml:space="preserve">Volume of Secondary water store in </t>
    </r>
    <r>
      <rPr>
        <b/>
        <sz val="10"/>
        <color theme="1" tint="0.249977111117893"/>
        <rFont val="Arial"/>
        <family val="2"/>
      </rPr>
      <t>litres</t>
    </r>
  </si>
  <si>
    <t>Applicants should complete the Workbook ('Applicant Information', Submission Form' and 'Supporting info &amp; declaration' sheets) for each product being submitted.</t>
  </si>
  <si>
    <t xml:space="preserve">The PCDB Administrator's contractor (Kiwa Ltd) will review the application workbook and supporting information and report issues (errors or matters requiring clarification) to the applicant for amendment or provision of further information. </t>
  </si>
  <si>
    <t>Secondary addressable object name</t>
  </si>
  <si>
    <t>Designated Street name</t>
  </si>
  <si>
    <t>I understand that submitting this workbook electronically to the email address indicated has the force of signing this declaration.</t>
  </si>
  <si>
    <t>Application workbook for entry of gas and oil fired boiler performance data in SAP Product Characteristics Database (PCDB)</t>
  </si>
  <si>
    <t>Supporting information and applicant declaration for entry of gas or oil fired boiler data in SAP Product Characteristics Database (PCDB)</t>
  </si>
  <si>
    <r>
      <t>Not applicable</t>
    </r>
    <r>
      <rPr>
        <sz val="10"/>
        <color rgb="FF4D4F53"/>
        <rFont val="Arial"/>
        <family val="2"/>
      </rPr>
      <t xml:space="preserve"> - The boiler is not an instantaneous combination boiler or if it is its store is less than 15 litres</t>
    </r>
  </si>
  <si>
    <r>
      <t xml:space="preserve">HOT WATER STORE INFORMATION
</t>
    </r>
    <r>
      <rPr>
        <sz val="9"/>
        <color theme="1" tint="0.249977111117893"/>
        <rFont val="Arial"/>
        <family val="2"/>
      </rPr>
      <t>IHWS = Internal Hot Water Store</t>
    </r>
  </si>
  <si>
    <t>Combined Primary Storage Unit (CPSU)</t>
  </si>
  <si>
    <t>Outdoor</t>
  </si>
  <si>
    <t>Seasonal space heating energy efficiency class</t>
  </si>
  <si>
    <t>As defined in COMMISSION DELEGATED REGULATION (EU) No 811/2013, of 18 February 2013, supplementing Directive 2010/30/EU of the European Parliament and of the Council with regard to the energy labelling of space heaters, combination heaters, packages of space heater, temperature control and solar device and packages of combination heater, temperature control and solar device</t>
  </si>
  <si>
    <t>A</t>
  </si>
  <si>
    <t>B</t>
  </si>
  <si>
    <t>C</t>
  </si>
  <si>
    <t>D</t>
  </si>
  <si>
    <t>E</t>
  </si>
  <si>
    <t>F</t>
  </si>
  <si>
    <t>G</t>
  </si>
  <si>
    <t>Select ErP class</t>
  </si>
  <si>
    <t>ErP_Class</t>
  </si>
  <si>
    <t>ErP Seasonal space heating energy efficiency class</t>
  </si>
  <si>
    <t>Water heating energy efficiency class</t>
  </si>
  <si>
    <t>ErP Water heating energy efficiency class</t>
  </si>
  <si>
    <t>ErP Water heating declared load profile</t>
  </si>
  <si>
    <t>Water heating declared load profile</t>
  </si>
  <si>
    <t>S</t>
  </si>
  <si>
    <t>M</t>
  </si>
  <si>
    <t>L</t>
  </si>
  <si>
    <t>DHW_LoadProfile</t>
  </si>
  <si>
    <r>
      <t>LPG boilers tested on Natural Gas Information</t>
    </r>
    <r>
      <rPr>
        <sz val="10"/>
        <color theme="1" tint="0.249977111117893"/>
        <rFont val="Arial"/>
        <family val="2"/>
      </rPr>
      <t> </t>
    </r>
  </si>
  <si>
    <t xml:space="preserve">Test report for Domestic Hot Water tapping cycle measurements carried out in accordance with EN13203 (for gas) or OPS26 (for oil), and provided by a suitable Notified Body or laboratory accredited against ISO 17025 for the relevant standard. </t>
  </si>
  <si>
    <t>Data fiche in accordance with ErP Directive Regulation 813/2013 on ecodesign requirements</t>
  </si>
  <si>
    <t>Data label accordance with ErP Directive Regulation 811/2013 on labelling requirements</t>
  </si>
  <si>
    <t xml:space="preserve">NCM (SAP) Identifier of Compensating boiler control </t>
  </si>
  <si>
    <t>Whether or not this boiler is compatible with a specific Compensating boiler control which is listed in the PCDB.</t>
  </si>
  <si>
    <t>PCDB website</t>
  </si>
  <si>
    <t>Building name or number, e.g. Big Co. House</t>
  </si>
  <si>
    <t>A district of location within the town or city, e.g. The Big Industrial Park</t>
  </si>
  <si>
    <t>Fuel energy for HW test 1 (Profile M)</t>
  </si>
  <si>
    <t>Electrical energy for HW test 1 (Profile M)</t>
  </si>
  <si>
    <t>Wasted Water in HW test 1 (Profile M)</t>
  </si>
  <si>
    <t>Hot water test 2 (Profile S or L)</t>
  </si>
  <si>
    <t>Fuel energy for HW test 2 (Profile S or L)</t>
  </si>
  <si>
    <t>Electrical energy for HW test 2 (Profile S or L)</t>
  </si>
  <si>
    <t>Wasted Water in HW test 2 (Profile S or L)</t>
  </si>
  <si>
    <t>This is a boiler identifier which, when used in conjunction with the manufacturer’s name, is unique for the model and the specific components used in a boiler. Examples include:
- GC (former Gas Council) number for gas boilers
- OFTEC Registration Number for oil boilers
- unique identifier chosen by the manufacturer and clearly marked on the boiler
If not known, or not used, leave blank.</t>
  </si>
  <si>
    <t>This is a badged boiler so this entry must be completed and may be the manufacturer / producer name or a marketing brand name</t>
  </si>
  <si>
    <t>This is a badged boiler so this entry must be completed and must be the product model name that appears on the product casing and manufacturers/producers instruction documents i.e. as specified in the EN boiler standards “the trade name of the appliance”.</t>
  </si>
  <si>
    <t>This is a badged boiler so this entry may need to be completed to show any qualifier to the model name, which discriminates between different versions of the same model or different members of a product range or family.</t>
  </si>
  <si>
    <t>This entry MUST be completed with the Model name of the NG version of the boiler, the test data for which is being submitted as the basis for the entry for the LPG version of the boiler.</t>
  </si>
  <si>
    <t>This entry MUST be completed with the Model qualifier of the NG version of the boiler, the test data for which is being submitted as the basis for the entry for the LPG version of the boiler.</t>
  </si>
  <si>
    <t>This entry MUST be completed with the Nominal rated heat input on a net calorific value basis for the NG version of the LPG boiler being submitted.</t>
  </si>
  <si>
    <t>This entry MUST be completed with the Nominal rated heat input on a net calorific value basis for the LPG version of the LPG boiler being submitted.</t>
  </si>
  <si>
    <t>This entry MUST be completed with the result from actual measurements such as those made for the mandatory testing of gas fired appliances in accordance with the Gas Appliance Directive.</t>
  </si>
  <si>
    <t>Data should be entered in Workbook cells with a yellow background. 
Workbook cells with a blue background are automatically calculated by the sheet.
ALL entries should be completed unless otherwise indicated in the Submission Form.</t>
  </si>
  <si>
    <t xml:space="preserve">As it appears on the boiler casing and/ the owners’ instruction leaflets/ ErP label. </t>
  </si>
  <si>
    <r>
      <t xml:space="preserve">This may be identical to the current name - in this case leave blank.
The name of the boiler manufacturer or company responsible for the boiler in the UK at the time the boiler was manufactured. This name may marked on the product.
</t>
    </r>
    <r>
      <rPr>
        <b/>
        <sz val="10"/>
        <color theme="1" tint="0.249977111117893"/>
        <rFont val="Arial"/>
        <family val="2"/>
      </rPr>
      <t/>
    </r>
  </si>
  <si>
    <r>
      <t xml:space="preserve">This is the current name of the Manufacturer or Company responsible for the boiler in the UK.
</t>
    </r>
    <r>
      <rPr>
        <b/>
        <sz val="10"/>
        <color theme="1" tint="0.249977111117893"/>
        <rFont val="Arial"/>
        <family val="2"/>
      </rPr>
      <t>Please omit punctuation marks and spaces between initials.</t>
    </r>
    <r>
      <rPr>
        <sz val="10"/>
        <color theme="1" tint="0.249977111117893"/>
        <rFont val="Arial"/>
        <family val="2"/>
      </rPr>
      <t xml:space="preserve">
Once a manufacturer name is confirmed  this format will be used for all future boiler entries appearing under that name.</t>
    </r>
  </si>
  <si>
    <t>PCDB entry applicant information for gas or oil fired boilers</t>
  </si>
  <si>
    <t>This must be the product model name that appears on the product casing and manufacturers/producers instruction documents i.e. as specified in the EN boiler standards “the trade name of the appliance”.
If the same product is sold under more than one brand and/or model name, each and every identity must have a separate entry.</t>
  </si>
  <si>
    <t>Record any qualifier to the model name, which discriminates between different versions of the same model or different members of a product range or family. If not used leave blank.</t>
  </si>
  <si>
    <r>
      <t xml:space="preserve">This must be provided </t>
    </r>
    <r>
      <rPr>
        <b/>
        <sz val="10"/>
        <color theme="1" tint="0.249977111117893"/>
        <rFont val="Arial"/>
        <family val="2"/>
      </rPr>
      <t xml:space="preserve">only </t>
    </r>
    <r>
      <rPr>
        <sz val="10"/>
        <color theme="1" tint="0.249977111117893"/>
        <rFont val="Arial"/>
        <family val="2"/>
      </rPr>
      <t>where the boiler model submitted for listing is a product badged from a master model made by the same or another manufacturer.
If the same product is sold under more than one brand and/or model name, each and every identity (badged version) must have a separate entry in the PCDB. A submission form must be completed in each case and the relevant information provided in this section.</t>
    </r>
  </si>
  <si>
    <t>NG Model Qualifier (test data for basis of LPG entry)</t>
  </si>
  <si>
    <t>NG Model Name (test data for basis of LPG entry)</t>
  </si>
  <si>
    <t>Data collected firing NG acceptable in support of boiler efficiency data? [excluding DHW data]</t>
  </si>
  <si>
    <r>
      <t>Measured concentration of CO</t>
    </r>
    <r>
      <rPr>
        <vertAlign val="subscript"/>
        <sz val="10"/>
        <color theme="1" tint="0.249977111117893"/>
        <rFont val="Arial"/>
        <family val="2"/>
      </rPr>
      <t>2</t>
    </r>
    <r>
      <rPr>
        <sz val="10"/>
        <color theme="1" tint="0.249977111117893"/>
        <rFont val="Arial"/>
        <family val="2"/>
      </rPr>
      <t xml:space="preserve"> in the flue gas (% vol. dry) at the max. nominal heat input during NG firing (V</t>
    </r>
    <r>
      <rPr>
        <vertAlign val="subscript"/>
        <sz val="10"/>
        <color theme="1" tint="0.249977111117893"/>
        <rFont val="Arial"/>
        <family val="2"/>
      </rPr>
      <t>NG</t>
    </r>
    <r>
      <rPr>
        <sz val="10"/>
        <color theme="1" tint="0.249977111117893"/>
        <rFont val="Arial"/>
        <family val="2"/>
      </rPr>
      <t>)</t>
    </r>
  </si>
  <si>
    <r>
      <t>Measured concentration of CO2 in the flue gas (% vol. dry) at the max. nominal heat input during LPG firing (V</t>
    </r>
    <r>
      <rPr>
        <vertAlign val="subscript"/>
        <sz val="10"/>
        <color theme="1" tint="0.249977111117893"/>
        <rFont val="Arial"/>
        <family val="2"/>
      </rPr>
      <t>LP</t>
    </r>
    <r>
      <rPr>
        <sz val="10"/>
        <color theme="1" tint="0.249977111117893"/>
        <rFont val="Arial"/>
        <family val="2"/>
      </rPr>
      <t>)</t>
    </r>
  </si>
  <si>
    <t>This is a badged boiler. So, this entry has been completed automatically with the identification that has been provided above, which must be the product model name that appears on the product casing and manufacturers/producers instruction documents i.e. as specified in the EN boiler standards "the trade name of the appliance".</t>
  </si>
  <si>
    <t>This is a badged boiler. So, this entry has been completed automatically with the identification that has been provided above, which is the product model name that appears on the product casing and manufacturers/producers instruction documents i.e. as specified in the EN boiler standards “the trade name of the appliance”.</t>
  </si>
  <si>
    <t>This is a badged boiler. So, this entry has been completed automatically with the identification that has been provided above, which is any qualifier to the model name, which discriminates between different versions of the same model or different members of a product range or family.</t>
  </si>
  <si>
    <t>For range rated boiler this should be the maximum output power of the range declared by the manufacturer.
For a boiler rated for a single nominal output boiler this figure should be the nominal output power (to water) of the boiler in kW i.e. the same as Entry 24.</t>
  </si>
  <si>
    <t xml:space="preserve">The following entries in this section must be completed to link the model in this submission to the master model on which testing was carried out. Completion of these entries acts as a declaration, by the person making this submission, of similarity between the boiler tested and the boiler in this submission.
This confirms that the boiler (termed the “Badged model”) is the same in every respect that may affect boiler performance; including all values determined and declared with regards to the requirements of the Boiler Efficiency Directive and the relevant Regulation under the Energy Related Products Directive, as the boiler (termed the “Master model”) for which a BED Certificate from a Notified Body is available. This does not include cosmetic appearance or product marking for identification. </t>
  </si>
  <si>
    <t>If the “Master” model is made in a different factory or ‘out of production’ give details of the QA system that is in place to ensure product quality and similarity. This should be provided in a separate document(s) submitted with the application. Providing evidence of the existence of a quality system alone is not sufficient. The procedures dealing with the control of production in the two factories to ensure product similarity need to be described.</t>
  </si>
  <si>
    <t>The entries relating to stores are relevant only to combination boilers with total storage volume of greater than 15 litres.</t>
  </si>
  <si>
    <t>ErP_Class_Water</t>
  </si>
  <si>
    <t>“Keep-Hot” Timer</t>
  </si>
  <si>
    <t>Declaration of similarity between the LPG version which is the subject of this application and the NG version on which space heating efficiency determinations were carried out.</t>
  </si>
  <si>
    <t>• A copy of the BED or CE certificate (or original signed declaration) as issued by an EU Notified Body clearly showing the test results, or
• A declaration issued and authorised by an appropriate EU Notified Body showing the boiler efficiency results for the model submitted.</t>
  </si>
  <si>
    <r>
      <t>Auxiliary electricity consumption at part load (</t>
    </r>
    <r>
      <rPr>
        <i/>
        <sz val="10"/>
        <color theme="1" tint="0.249977111117893"/>
        <rFont val="Arial"/>
        <family val="2"/>
      </rPr>
      <t>el</t>
    </r>
    <r>
      <rPr>
        <i/>
        <vertAlign val="subscript"/>
        <sz val="10"/>
        <color theme="1" tint="0.249977111117893"/>
        <rFont val="Arial"/>
        <family val="2"/>
      </rPr>
      <t>min</t>
    </r>
    <r>
      <rPr>
        <sz val="10"/>
        <color theme="1" tint="0.249977111117893"/>
        <rFont val="Arial"/>
        <family val="2"/>
      </rPr>
      <t>)</t>
    </r>
  </si>
  <si>
    <r>
      <t>Auxiliary electricity consumption at full load (</t>
    </r>
    <r>
      <rPr>
        <i/>
        <sz val="10"/>
        <color theme="1" tint="0.249977111117893"/>
        <rFont val="Arial"/>
        <family val="2"/>
      </rPr>
      <t>el</t>
    </r>
    <r>
      <rPr>
        <i/>
        <vertAlign val="subscript"/>
        <sz val="10"/>
        <color theme="1" tint="0.249977111117893"/>
        <rFont val="Arial"/>
        <family val="2"/>
      </rPr>
      <t>max</t>
    </r>
    <r>
      <rPr>
        <sz val="10"/>
        <color theme="1" tint="0.249977111117893"/>
        <rFont val="Arial"/>
        <family val="2"/>
      </rPr>
      <t>)</t>
    </r>
  </si>
  <si>
    <t>PCDB entry application form for gas or oil fired boilers</t>
  </si>
  <si>
    <t>NG Model nominal heat input</t>
  </si>
  <si>
    <t>LPG Model nominal heat input</t>
  </si>
  <si>
    <t>Issue</t>
  </si>
  <si>
    <t>Date</t>
  </si>
  <si>
    <t>Description</t>
  </si>
  <si>
    <t>First issue of workbook</t>
  </si>
  <si>
    <t>Minor fixes to cell formats and data vallidation</t>
  </si>
  <si>
    <t xml:space="preserve">Minor fixes to cell formats (full and part load efficiency to all a dp to be displayed) and data vallidation (to enable correct length of entry for master boiler identification for badged boilers) and removal of extraneous control from a cell in the Supporting info &amp; declaration sheet (an Excel bug). </t>
  </si>
  <si>
    <t>Minor data validation problem in entry cells in Applicant Information fixed</t>
  </si>
  <si>
    <t>The Full Load and Part Load efficiency values for the entries below shall have been measured such as to satisfy the relevant requirements of the Boiler Efficiency Directive 92/42/EEC Articles 7(2) and 8, and Annexes III to V.
The certificate or declaration shall clearly indicate the model to which it applies. If the model in this submission differs in any way (either physically or by model name or other identifier) from that shown on the certificate, entries under the ‘BADGED BOILER INFORMATION’ section, cells D75 and D80 to D83 must be completed. </t>
  </si>
  <si>
    <t>Minor clarification to guidance in Submission form cell B37</t>
  </si>
  <si>
    <r>
      <t xml:space="preserve">All the supporting information indicated in the sheet 'Supporting info &amp; declaration' should be collated and submitted with this workbook and the form: </t>
    </r>
    <r>
      <rPr>
        <i/>
        <sz val="11"/>
        <color theme="1"/>
        <rFont val="Calibri"/>
        <family val="2"/>
        <scheme val="minor"/>
      </rPr>
      <t>“Application for recognition of product data within an existing SAP technology category”</t>
    </r>
    <r>
      <rPr>
        <sz val="11"/>
        <color theme="1"/>
        <rFont val="Calibri"/>
        <family val="2"/>
        <scheme val="minor"/>
      </rPr>
      <t xml:space="preserve"> to: PCDB@kiwa.co.uk.</t>
    </r>
  </si>
  <si>
    <r>
      <rPr>
        <b/>
        <sz val="8"/>
        <color indexed="10"/>
        <rFont val="Arial"/>
        <family val="2"/>
      </rPr>
      <t>Disclaimer:</t>
    </r>
    <r>
      <rPr>
        <sz val="8"/>
        <color indexed="10"/>
        <rFont val="Arial"/>
        <family val="2"/>
      </rPr>
      <t xml:space="preserve"> Building Research Establishment Ltd. and Kiwa Ltd. makes no representation or warranty that the content of this spreadsheet is suitable for any use or that it constitutes accurate data and/or advice.</t>
    </r>
  </si>
  <si>
    <t>OpenTherm Certified</t>
  </si>
  <si>
    <t>Ecodesign Class II - Compatible with boiler manufacturer weather compensation sensor</t>
  </si>
  <si>
    <t>Vaillant eBUS compatible</t>
  </si>
  <si>
    <t>Glow-worm eBUS compatible</t>
  </si>
  <si>
    <t>Compatible with Worcester Comfort I RF &amp; Comfort II RF control</t>
  </si>
  <si>
    <t>Compatible with Worcester Wave control</t>
  </si>
  <si>
    <t>Compatible with Baxi or Multifit weather compensation sensor</t>
  </si>
  <si>
    <t>Compatible with Ariston Sensys and/or Ariston outdoor sensor</t>
  </si>
  <si>
    <t>Compatible with Alpha Climatic controller or External Probe</t>
  </si>
  <si>
    <t>Compatible with Viessmann Vitotronic 200</t>
  </si>
  <si>
    <t>NEW FEATURE ENTRIES ADDED AT END COLUMN</t>
  </si>
  <si>
    <t>Condensing boiler</t>
  </si>
  <si>
    <t>On-off boiler</t>
  </si>
  <si>
    <t>Modulating burner</t>
  </si>
  <si>
    <t>Heat pump to provide 11-hour heating</t>
  </si>
  <si>
    <t>COMPENSATING CONTROLS - COMPATIBILITY SELECTION</t>
  </si>
  <si>
    <t>GENERIC Ecodesign Class II - Compatible with boiler manufacturer weather compensation sensor</t>
  </si>
  <si>
    <t>FEATURE</t>
  </si>
  <si>
    <t>CONCAT</t>
  </si>
  <si>
    <t>CONCAT SHORT</t>
  </si>
  <si>
    <t>CODE</t>
  </si>
  <si>
    <t>SUM</t>
  </si>
  <si>
    <t>ALPHANUMERIC</t>
  </si>
  <si>
    <t>RESULT</t>
  </si>
  <si>
    <t>*RED MEANS FIELD UNUSED</t>
  </si>
  <si>
    <t>Compatible compensating boiler control(s) - Brand name (may be more than one)</t>
  </si>
  <si>
    <t>Compatible compensating boiler control(s) - Model name (may be more than one)</t>
  </si>
  <si>
    <t>Compatible compensating boiler control(s) - Model qualifier (may be more than one)</t>
  </si>
  <si>
    <t>Compatible compensating boiler control(s) - PCDB Index Number (may be more than one)</t>
  </si>
  <si>
    <t>Added compensating control compatibility selection function for generation of hex code</t>
  </si>
  <si>
    <t>Is the boiler in this submission compatible with a specific compensating boiler control(s)?</t>
  </si>
  <si>
    <t xml:space="preserve">FOR GUIDANCE ON APPLYING FOR RECOGNITION OF COMPENSATING BOILERS CONTROLS WITHIN THE PCDB, SEE GUIDANCE AVAILABLE AT: </t>
  </si>
  <si>
    <t>http://www.ncm-pcdb.org.uk/sap/page.jsp?id=19</t>
  </si>
  <si>
    <t xml:space="preserve">ErP Daily fuel consumption seasonally adjusted in kWh/day using the Gross Calorific Value </t>
  </si>
  <si>
    <r>
      <t>This is Q</t>
    </r>
    <r>
      <rPr>
        <vertAlign val="subscript"/>
        <sz val="10"/>
        <color theme="1" tint="0.249977111117893"/>
        <rFont val="Arial"/>
        <family val="2"/>
      </rPr>
      <t>fuel</t>
    </r>
    <r>
      <rPr>
        <sz val="10"/>
        <color theme="1" tint="0.249977111117893"/>
        <rFont val="Arial"/>
        <family val="2"/>
      </rPr>
      <t xml:space="preserve"> as defined in the Eco-design Regulation 813/2013, Table 1 and must be quoted to three decimal places. See formula (17) in EN13203:2 2015 (E), section 7.1 and 5.4.3 for seasonal adjustment.</t>
    </r>
  </si>
  <si>
    <t>XL</t>
  </si>
  <si>
    <t>XXL</t>
  </si>
  <si>
    <t>XXXL</t>
  </si>
  <si>
    <t>Select ErP water heating load profile</t>
  </si>
  <si>
    <t xml:space="preserve">This is declared tapping profile on the data fiche - this is not necessary the same as that used for the test data in the Domestic Hot Water Production Section below. </t>
  </si>
  <si>
    <t>Qref</t>
  </si>
  <si>
    <t>Fuel code</t>
  </si>
  <si>
    <t>Net to Gross ratio</t>
  </si>
  <si>
    <t>M limit</t>
  </si>
  <si>
    <t>L limit</t>
  </si>
  <si>
    <t>FLE Max
 net</t>
  </si>
  <si>
    <t>PLE Max
 net</t>
  </si>
  <si>
    <t>FLE Max
 Gross</t>
  </si>
  <si>
    <t>PLE Max
 Gross</t>
  </si>
  <si>
    <t>Gas</t>
  </si>
  <si>
    <t>Natural gas</t>
  </si>
  <si>
    <t xml:space="preserve"> LPG</t>
  </si>
  <si>
    <t xml:space="preserve"> Oil</t>
  </si>
  <si>
    <t>LPG</t>
  </si>
  <si>
    <t>Full-load</t>
  </si>
  <si>
    <t>Oil (C2)</t>
  </si>
  <si>
    <t>Part-load</t>
  </si>
  <si>
    <t>Oil (D)</t>
  </si>
  <si>
    <t>Ratio</t>
  </si>
  <si>
    <t>see below</t>
  </si>
  <si>
    <t>Source SAP 2012</t>
  </si>
  <si>
    <t>EN13203 Validation Limits</t>
  </si>
  <si>
    <t>Limit M</t>
  </si>
  <si>
    <t>Limit L</t>
  </si>
  <si>
    <t>Limit net</t>
  </si>
  <si>
    <t>Limit gross</t>
  </si>
  <si>
    <t>Oil fuel oil (class D)*</t>
  </si>
  <si>
    <t>Oil kerosene C2</t>
  </si>
  <si>
    <t>EN13203 calculation</t>
  </si>
  <si>
    <t>SAP 2012 Max permitted gross</t>
  </si>
  <si>
    <t>CV ratio</t>
  </si>
  <si>
    <t>net FLE</t>
  </si>
  <si>
    <t>Qref,kWh</t>
  </si>
  <si>
    <t>Qgas,p (net) kWh</t>
  </si>
  <si>
    <t>Ds</t>
  </si>
  <si>
    <t>Dw</t>
  </si>
  <si>
    <t>a</t>
  </si>
  <si>
    <t>b</t>
  </si>
  <si>
    <t>c</t>
  </si>
  <si>
    <t>Qs (net) kWh</t>
  </si>
  <si>
    <t>HW eff (X) net</t>
  </si>
  <si>
    <t>HW eff Ex(M or L)</t>
  </si>
  <si>
    <t>HW (M or L) net</t>
  </si>
  <si>
    <t>Limit</t>
  </si>
  <si>
    <t>Pass/fail</t>
  </si>
  <si>
    <t>test required</t>
  </si>
  <si>
    <t>Amended Ecodesign related hot water data inputs</t>
  </si>
  <si>
    <t>Hot water test standard</t>
  </si>
  <si>
    <t>Only relevant if separate DHW tests are provided</t>
  </si>
  <si>
    <t>Select DHW test standard</t>
  </si>
  <si>
    <t>If applicable select test standard used</t>
  </si>
  <si>
    <t>EN 13203-2:2006</t>
  </si>
  <si>
    <t>EN13203-2:2015</t>
  </si>
  <si>
    <t>OPS 26</t>
  </si>
  <si>
    <r>
      <t>Clause 5.4.1: Q</t>
    </r>
    <r>
      <rPr>
        <vertAlign val="subscript"/>
        <sz val="10"/>
        <color rgb="FF4D4F53"/>
        <rFont val="Arial"/>
        <family val="2"/>
      </rPr>
      <t>gas,S</t>
    </r>
    <r>
      <rPr>
        <sz val="10"/>
        <color rgb="FF4D4F53"/>
        <rFont val="Arial"/>
        <family val="2"/>
      </rPr>
      <t xml:space="preserve"> kWh/day net</t>
    </r>
  </si>
  <si>
    <r>
      <t>Clause 6.2.2.3.2: Q</t>
    </r>
    <r>
      <rPr>
        <vertAlign val="subscript"/>
        <sz val="10"/>
        <color rgb="FF4D4F53"/>
        <rFont val="Arial"/>
        <family val="2"/>
      </rPr>
      <t>oil</t>
    </r>
    <r>
      <rPr>
        <sz val="10"/>
        <color rgb="FF4D4F53"/>
        <rFont val="Arial"/>
        <family val="2"/>
      </rPr>
      <t xml:space="preserve"> kWh/day net</t>
    </r>
  </si>
  <si>
    <r>
      <t>Clause 5.5: E</t>
    </r>
    <r>
      <rPr>
        <vertAlign val="subscript"/>
        <sz val="10"/>
        <color rgb="FF4D4F53"/>
        <rFont val="Arial"/>
        <family val="2"/>
      </rPr>
      <t>elecco</t>
    </r>
    <r>
      <rPr>
        <sz val="10"/>
        <color rgb="FF4D4F53"/>
        <rFont val="Arial"/>
        <family val="2"/>
      </rPr>
      <t xml:space="preserve"> kWh</t>
    </r>
  </si>
  <si>
    <r>
      <t>Clause 6.2.2.4: E</t>
    </r>
    <r>
      <rPr>
        <vertAlign val="subscript"/>
        <sz val="10"/>
        <color rgb="FF4D4F53"/>
        <rFont val="Arial"/>
        <family val="2"/>
      </rPr>
      <t>elecco</t>
    </r>
    <r>
      <rPr>
        <sz val="10"/>
        <color rgb="FF4D4F53"/>
        <rFont val="Arial"/>
        <family val="2"/>
      </rPr>
      <t xml:space="preserve"> kWh</t>
    </r>
  </si>
  <si>
    <t>Clause 5.2.2.5: R %</t>
  </si>
  <si>
    <t>Clause 6.2.2.5: R %</t>
  </si>
  <si>
    <t>Clause 6: R %</t>
  </si>
  <si>
    <t>WARNING: Full Load efficiency &gt; Part Load efficiency - CHECK DATA</t>
  </si>
  <si>
    <t>OTHER SIGNING OPTIONS:
1. Print, sign and scan page and submit with completed application
2. Paste signature image over cell below left
3. Apply digital signature using field below right</t>
  </si>
  <si>
    <t>Model Qualifier</t>
  </si>
  <si>
    <t>Clarification of separate DHW input parameters, correction of typos, added check gas condensing type efficiencies are consistent, extended signature options, made units electrical entry consistent, added model name guidance pop-ups.</t>
  </si>
  <si>
    <t>Clause 5.2.2.3: Qgas kWh/day net</t>
  </si>
  <si>
    <t>DATA FROM EN 13203-2:2006 NOT ACCEPTABLE</t>
  </si>
  <si>
    <t>Clause 5.2.2.4: Eelecco kWh</t>
  </si>
  <si>
    <t>Standard for testing on LPG</t>
  </si>
  <si>
    <t>LPG_Condense_Standard</t>
  </si>
  <si>
    <t>EN15502</t>
  </si>
  <si>
    <t>EN677:1998 with EN 297:1994 or BS EN 483:1999+A4:2007</t>
  </si>
  <si>
    <t>If applicable select a standard above</t>
  </si>
  <si>
    <r>
      <t>All electric energy consumed by the boiler, but excluding circulation pump (</t>
    </r>
    <r>
      <rPr>
        <b/>
        <sz val="10"/>
        <color rgb="FFFF0000"/>
        <rFont val="Arial"/>
        <family val="2"/>
      </rPr>
      <t>W</t>
    </r>
    <r>
      <rPr>
        <sz val="10"/>
        <color theme="1" tint="0.249977111117893"/>
        <rFont val="Arial"/>
        <family val="2"/>
      </rPr>
      <t>). Determined as per EN15502-1-2012 + A1 2015.</t>
    </r>
  </si>
  <si>
    <r>
      <t>Electric power consumption in standby mode (</t>
    </r>
    <r>
      <rPr>
        <b/>
        <sz val="10"/>
        <color rgb="FFFF0000"/>
        <rFont val="Arial"/>
        <family val="2"/>
      </rPr>
      <t>W</t>
    </r>
    <r>
      <rPr>
        <sz val="10"/>
        <color theme="1" tint="0.249977111117893"/>
        <rFont val="Arial"/>
        <family val="2"/>
      </rPr>
      <t xml:space="preserve">). Determined as per EN15502-1-2012 + A1 2015.
</t>
    </r>
  </si>
  <si>
    <t>ErP Seasonal space heating declared efficiency (%)</t>
  </si>
  <si>
    <t>ErP Water heating declared efficiency (%)</t>
  </si>
  <si>
    <t>ErP Technical Parameters (Reg. No. 811/2013 and 813/2013)</t>
  </si>
  <si>
    <t>Product marking / labelling and ErP technical parameters and label</t>
  </si>
  <si>
    <t>In the ‘Submission Form’ sheet the cells F24 to F27 unlocked so that users can use the links to the controllers search on the ncm website. Added facility to enter declared ErP efficiency values.</t>
  </si>
  <si>
    <t>CHANGE LOG</t>
  </si>
  <si>
    <t>Corrected equation for LPG boilers tested on Natural Gas Information - this states: "If the CO2 measurement for the LPG boiler is lower than the rounded threshold then the natural gas boiler efficiencies cannot be used as basis for the LPG boiler efficiencies." Validation equation erroneously disallowed cases where LPG boiler value matched the threshold. 
Amended compatibility control data entry options.</t>
  </si>
  <si>
    <t>Version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</si>
</sst>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000\ \k\W"/>
    <numFmt numFmtId="165" formatCode="000.0\ %"/>
    <numFmt numFmtId="166" formatCode="00.0000\ \l"/>
    <numFmt numFmtId="167" formatCode="###\ &quot;mm&quot;"/>
    <numFmt numFmtId="168" formatCode="##\ &quot;°C&quot;"/>
    <numFmt numFmtId="169" formatCode="000000\ \l"/>
    <numFmt numFmtId="170" formatCode="0\ \W"/>
    <numFmt numFmtId="171" formatCode="0.0\ \l"/>
    <numFmt numFmtId="172" formatCode="0.000\ &quot;kWh/day&quot;"/>
    <numFmt numFmtId="173" formatCode="0.0\ %"/>
    <numFmt numFmtId="174" formatCode="0\ \k\W"/>
    <numFmt numFmtId="175" formatCode="0.0"/>
    <numFmt numFmtId="176" formatCode="0.00000"/>
    <numFmt numFmtId="177" formatCode="0.000%"/>
    <numFmt numFmtId="178" formatCode="0.0%"/>
    <numFmt numFmtId="179" formatCode="0.000"/>
  </numFmts>
  <fonts count="40">
    <font>
      <sz val="11"/>
      <color theme="1"/>
      <name val="Calibri"/>
      <family val="2"/>
      <scheme val="minor"/>
    </font>
    <font>
      <sz val="10"/>
      <color rgb="FF4D4F53"/>
      <name val="Arial"/>
      <family val="2"/>
    </font>
    <font>
      <b/>
      <sz val="10"/>
      <color rgb="FF4D4F53"/>
      <name val="Arial"/>
      <family val="2"/>
    </font>
    <font>
      <b/>
      <i/>
      <sz val="10"/>
      <color rgb="FF595959"/>
      <name val="Arial"/>
      <family val="2"/>
    </font>
    <font>
      <i/>
      <sz val="10"/>
      <color rgb="FF595959"/>
      <name val="Arial"/>
      <family val="2"/>
    </font>
    <font>
      <sz val="10"/>
      <color rgb="FF595959"/>
      <name val="Arial"/>
      <family val="2"/>
    </font>
    <font>
      <sz val="11"/>
      <color theme="1"/>
      <name val="Arial"/>
      <family val="2"/>
    </font>
    <font>
      <i/>
      <sz val="11"/>
      <color theme="1"/>
      <name val="Arial"/>
      <family val="2"/>
    </font>
    <font>
      <i/>
      <vertAlign val="subscript"/>
      <sz val="11"/>
      <color theme="1"/>
      <name val="Arial"/>
      <family val="2"/>
    </font>
    <font>
      <sz val="10"/>
      <color theme="1" tint="0.249977111117893"/>
      <name val="Arial"/>
      <family val="2"/>
    </font>
    <font>
      <b/>
      <sz val="10"/>
      <color theme="1" tint="0.249977111117893"/>
      <name val="Arial"/>
      <family val="2"/>
    </font>
    <font>
      <b/>
      <i/>
      <sz val="10"/>
      <color theme="1" tint="0.249977111117893"/>
      <name val="Arial"/>
      <family val="2"/>
    </font>
    <font>
      <vertAlign val="subscript"/>
      <sz val="10"/>
      <color theme="1" tint="0.249977111117893"/>
      <name val="Arial"/>
      <family val="2"/>
    </font>
    <font>
      <sz val="10"/>
      <color theme="1" tint="0.249977111117893"/>
      <name val="Calibri"/>
      <family val="2"/>
      <scheme val="minor"/>
    </font>
    <font>
      <i/>
      <sz val="10"/>
      <color theme="1" tint="0.249977111117893"/>
      <name val="Arial"/>
      <family val="2"/>
    </font>
    <font>
      <i/>
      <vertAlign val="subscript"/>
      <sz val="10"/>
      <color theme="1" tint="0.249977111117893"/>
      <name val="Arial"/>
      <family val="2"/>
    </font>
    <font>
      <sz val="10"/>
      <color indexed="8"/>
      <name val="Arial"/>
      <family val="2"/>
    </font>
    <font>
      <sz val="10"/>
      <color theme="1"/>
      <name val="Arial"/>
      <family val="2"/>
    </font>
    <font>
      <sz val="10"/>
      <color indexed="8"/>
      <name val="Calibri"/>
      <family val="2"/>
    </font>
    <font>
      <b/>
      <sz val="10"/>
      <color theme="1"/>
      <name val="Arial"/>
      <family val="2"/>
    </font>
    <font>
      <b/>
      <sz val="16"/>
      <color theme="4" tint="-0.249977111117893"/>
      <name val="Arial"/>
      <family val="2"/>
    </font>
    <font>
      <b/>
      <sz val="9"/>
      <color theme="1"/>
      <name val="Arial"/>
      <family val="2"/>
    </font>
    <font>
      <i/>
      <sz val="9"/>
      <color indexed="8"/>
      <name val="Arial"/>
      <family val="2"/>
    </font>
    <font>
      <b/>
      <u/>
      <sz val="9"/>
      <color theme="1"/>
      <name val="Arial"/>
      <family val="2"/>
    </font>
    <font>
      <sz val="9"/>
      <color theme="1" tint="0.249977111117893"/>
      <name val="Arial"/>
      <family val="2"/>
    </font>
    <font>
      <u/>
      <sz val="11"/>
      <color theme="10"/>
      <name val="Calibri"/>
      <family val="2"/>
      <scheme val="minor"/>
    </font>
    <font>
      <i/>
      <sz val="11"/>
      <color theme="1"/>
      <name val="Calibri"/>
      <family val="2"/>
      <scheme val="minor"/>
    </font>
    <font>
      <b/>
      <sz val="12"/>
      <name val="Arial"/>
      <family val="2"/>
    </font>
    <font>
      <b/>
      <sz val="11"/>
      <color theme="1"/>
      <name val="Calibri"/>
      <family val="2"/>
      <scheme val="minor"/>
    </font>
    <font>
      <sz val="11"/>
      <color rgb="FFFF0000"/>
      <name val="Calibri"/>
      <family val="2"/>
      <scheme val="minor"/>
    </font>
    <font>
      <sz val="8"/>
      <color indexed="10"/>
      <name val="Arial"/>
      <family val="2"/>
    </font>
    <font>
      <b/>
      <sz val="8"/>
      <color indexed="10"/>
      <name val="Arial"/>
      <family val="2"/>
    </font>
    <font>
      <sz val="11"/>
      <name val="Calibri"/>
      <family val="2"/>
      <scheme val="minor"/>
    </font>
    <font>
      <b/>
      <sz val="10"/>
      <color rgb="FFFF0000"/>
      <name val="Arial"/>
      <family val="2"/>
    </font>
    <font>
      <b/>
      <sz val="11"/>
      <color rgb="FFFF0000"/>
      <name val="Calibri"/>
      <family val="2"/>
      <scheme val="minor"/>
    </font>
    <font>
      <sz val="11"/>
      <color theme="1"/>
      <name val="Calibri"/>
      <family val="2"/>
      <scheme val="minor"/>
    </font>
    <font>
      <sz val="10"/>
      <color rgb="FF000000"/>
      <name val="TimesNewRomanPS-BoldMT"/>
    </font>
    <font>
      <vertAlign val="subscript"/>
      <sz val="10"/>
      <color rgb="FF4D4F53"/>
      <name val="Arial"/>
      <family val="2"/>
    </font>
    <font>
      <sz val="10"/>
      <color rgb="FFFF0000"/>
      <name val="Arial"/>
      <family val="2"/>
    </font>
    <font>
      <sz val="9"/>
      <color indexed="81"/>
      <name val="Tahoma"/>
      <charset val="1"/>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indexed="22"/>
        <bgColor indexed="0"/>
      </patternFill>
    </fill>
    <fill>
      <patternFill patternType="solid">
        <fgColor theme="1" tint="0.499984740745262"/>
        <bgColor indexed="64"/>
      </patternFill>
    </fill>
    <fill>
      <patternFill patternType="solid">
        <fgColor rgb="FF00B0F0"/>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16" fillId="0" borderId="0"/>
    <xf numFmtId="0" fontId="25" fillId="0" borderId="0" applyNumberFormat="0" applyFill="0" applyBorder="0" applyAlignment="0" applyProtection="0"/>
    <xf numFmtId="9" fontId="35" fillId="0" borderId="0" applyFont="0" applyFill="0" applyBorder="0" applyAlignment="0" applyProtection="0"/>
  </cellStyleXfs>
  <cellXfs count="309">
    <xf numFmtId="0" fontId="0" fillId="0" borderId="0" xfId="0"/>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0" borderId="0" xfId="0" applyFont="1"/>
    <xf numFmtId="0" fontId="6" fillId="0" borderId="0" xfId="0" applyFont="1" applyAlignment="1"/>
    <xf numFmtId="0" fontId="7" fillId="0" borderId="0" xfId="0" applyFont="1"/>
    <xf numFmtId="0" fontId="8" fillId="0" borderId="0" xfId="0" applyFont="1"/>
    <xf numFmtId="0" fontId="1"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2" borderId="1" xfId="0" applyFont="1" applyFill="1" applyBorder="1" applyAlignment="1">
      <alignment vertical="center" wrapText="1"/>
    </xf>
    <xf numFmtId="0" fontId="1" fillId="2" borderId="11" xfId="0" applyFont="1" applyFill="1" applyBorder="1" applyAlignment="1">
      <alignment vertical="center" wrapText="1"/>
    </xf>
    <xf numFmtId="0" fontId="1" fillId="4"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0" xfId="0" applyFont="1" applyAlignment="1">
      <alignment vertical="center"/>
    </xf>
    <xf numFmtId="0" fontId="1" fillId="3" borderId="11" xfId="0" applyFont="1"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6" xfId="0" applyFont="1" applyFill="1" applyBorder="1" applyAlignment="1">
      <alignment horizontal="left" vertical="center" wrapText="1"/>
    </xf>
    <xf numFmtId="0" fontId="17" fillId="0" borderId="0" xfId="0" applyFont="1"/>
    <xf numFmtId="0" fontId="17" fillId="0" borderId="8" xfId="0" applyFont="1" applyBorder="1"/>
    <xf numFmtId="0" fontId="17" fillId="0" borderId="9" xfId="0"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7" fillId="0" borderId="0" xfId="0" quotePrefix="1" applyFont="1"/>
    <xf numFmtId="0" fontId="18" fillId="9" borderId="14" xfId="1" applyFont="1" applyFill="1" applyBorder="1" applyAlignment="1">
      <alignment horizontal="center"/>
    </xf>
    <xf numFmtId="0" fontId="18" fillId="0" borderId="15" xfId="1" applyFont="1" applyFill="1" applyBorder="1" applyAlignment="1">
      <alignment wrapText="1"/>
    </xf>
    <xf numFmtId="0" fontId="18" fillId="0" borderId="15" xfId="1" applyFont="1" applyFill="1" applyBorder="1" applyAlignment="1">
      <alignment horizontal="right" wrapText="1"/>
    </xf>
    <xf numFmtId="0" fontId="17" fillId="4" borderId="1" xfId="0" applyFont="1" applyFill="1" applyBorder="1"/>
    <xf numFmtId="0" fontId="1" fillId="5" borderId="16" xfId="0" applyFont="1" applyFill="1" applyBorder="1" applyAlignment="1">
      <alignment horizontal="center" vertical="center" wrapText="1"/>
    </xf>
    <xf numFmtId="0" fontId="17" fillId="2" borderId="1" xfId="0" applyFont="1" applyFill="1" applyBorder="1"/>
    <xf numFmtId="0" fontId="17" fillId="7" borderId="0" xfId="0" applyFont="1" applyFill="1"/>
    <xf numFmtId="0" fontId="1" fillId="3" borderId="16"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vertical="center" wrapText="1"/>
    </xf>
    <xf numFmtId="0" fontId="1" fillId="3" borderId="7" xfId="0" applyFont="1" applyFill="1" applyBorder="1" applyAlignment="1">
      <alignment horizontal="left" vertical="center" wrapText="1"/>
    </xf>
    <xf numFmtId="0" fontId="17" fillId="2" borderId="1" xfId="0" applyFont="1" applyFill="1" applyBorder="1" applyAlignment="1">
      <alignment wrapText="1"/>
    </xf>
    <xf numFmtId="0" fontId="17" fillId="3" borderId="1" xfId="0" applyFont="1" applyFill="1" applyBorder="1"/>
    <xf numFmtId="0" fontId="1" fillId="5" borderId="16"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1"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4" borderId="1" xfId="0" applyFont="1" applyFill="1" applyBorder="1"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left" vertical="center"/>
    </xf>
    <xf numFmtId="0" fontId="17" fillId="3" borderId="1" xfId="0" applyFont="1" applyFill="1" applyBorder="1" applyAlignment="1">
      <alignment horizontal="left" vertical="center"/>
    </xf>
    <xf numFmtId="0" fontId="17" fillId="2" borderId="1" xfId="0" applyFont="1" applyFill="1" applyBorder="1" applyAlignment="1">
      <alignment horizontal="left" vertical="center"/>
    </xf>
    <xf numFmtId="0" fontId="19" fillId="2" borderId="1" xfId="0" applyFont="1" applyFill="1" applyBorder="1" applyAlignment="1">
      <alignment horizontal="left" vertical="center"/>
    </xf>
    <xf numFmtId="0" fontId="19" fillId="4" borderId="1" xfId="0" applyFont="1" applyFill="1" applyBorder="1" applyAlignment="1">
      <alignment horizontal="left" vertical="center"/>
    </xf>
    <xf numFmtId="0" fontId="19" fillId="3" borderId="1" xfId="0" applyFont="1" applyFill="1" applyBorder="1" applyAlignment="1">
      <alignment horizontal="left" vertical="center"/>
    </xf>
    <xf numFmtId="0" fontId="1" fillId="3" borderId="13"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1" xfId="0" quotePrefix="1" applyFont="1" applyFill="1" applyBorder="1" applyAlignment="1">
      <alignment horizontal="center" vertical="center" wrapText="1"/>
    </xf>
    <xf numFmtId="0" fontId="9" fillId="0" borderId="0" xfId="0" applyFont="1" applyFill="1" applyAlignment="1">
      <alignment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7" fillId="3" borderId="1" xfId="0" applyFont="1" applyFill="1" applyBorder="1" applyAlignment="1">
      <alignment wrapText="1"/>
    </xf>
    <xf numFmtId="0" fontId="17" fillId="0" borderId="0" xfId="0" applyFont="1" applyAlignment="1">
      <alignment vertical="center"/>
    </xf>
    <xf numFmtId="0" fontId="9" fillId="8" borderId="27" xfId="0" applyFont="1" applyFill="1" applyBorder="1" applyAlignment="1">
      <alignment vertical="center"/>
    </xf>
    <xf numFmtId="0" fontId="21" fillId="0" borderId="0" xfId="0" applyFont="1"/>
    <xf numFmtId="0" fontId="23" fillId="0" borderId="0" xfId="0" applyFont="1" applyAlignment="1">
      <alignment horizontal="center"/>
    </xf>
    <xf numFmtId="0" fontId="9" fillId="6" borderId="18" xfId="0" applyFont="1" applyFill="1" applyBorder="1" applyAlignment="1" applyProtection="1">
      <alignment vertical="center"/>
      <protection locked="0"/>
    </xf>
    <xf numFmtId="0" fontId="17" fillId="0" borderId="1" xfId="0" applyFont="1" applyBorder="1" applyAlignment="1">
      <alignment vertical="center" wrapText="1"/>
    </xf>
    <xf numFmtId="0" fontId="9" fillId="0" borderId="1" xfId="0"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vertical="center"/>
    </xf>
    <xf numFmtId="0" fontId="17" fillId="6" borderId="1" xfId="0" applyFont="1" applyFill="1" applyBorder="1" applyAlignment="1" applyProtection="1">
      <alignment horizontal="center" vertical="center"/>
      <protection locked="0"/>
    </xf>
    <xf numFmtId="0" fontId="19" fillId="0" borderId="1" xfId="0" applyFont="1" applyBorder="1" applyAlignment="1">
      <alignment vertical="center" wrapText="1"/>
    </xf>
    <xf numFmtId="0" fontId="0" fillId="0" borderId="0" xfId="0" applyAlignment="1">
      <alignment horizontal="center" vertical="top"/>
    </xf>
    <xf numFmtId="0" fontId="17" fillId="6" borderId="18" xfId="0" applyFont="1" applyFill="1" applyBorder="1" applyAlignment="1" applyProtection="1">
      <alignment vertical="center"/>
      <protection locked="0"/>
    </xf>
    <xf numFmtId="0" fontId="20" fillId="0" borderId="0" xfId="0" applyFont="1" applyProtection="1"/>
    <xf numFmtId="0" fontId="0" fillId="0" borderId="0" xfId="0" applyProtection="1"/>
    <xf numFmtId="0" fontId="9" fillId="0" borderId="22"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23" xfId="0" applyFont="1" applyBorder="1" applyAlignment="1" applyProtection="1">
      <alignment vertical="center" wrapText="1"/>
    </xf>
    <xf numFmtId="0" fontId="9" fillId="0" borderId="24" xfId="0" applyFont="1" applyBorder="1" applyAlignment="1" applyProtection="1">
      <alignment vertical="center" wrapText="1"/>
    </xf>
    <xf numFmtId="0" fontId="9" fillId="0" borderId="23" xfId="0" applyFont="1" applyBorder="1" applyAlignment="1" applyProtection="1">
      <alignment horizontal="left" vertical="center"/>
    </xf>
    <xf numFmtId="0" fontId="9" fillId="0" borderId="25" xfId="0" applyFont="1" applyBorder="1" applyAlignment="1" applyProtection="1">
      <alignment horizontal="left" vertical="center"/>
    </xf>
    <xf numFmtId="0" fontId="10" fillId="8" borderId="2" xfId="0"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0" fontId="10" fillId="8" borderId="1" xfId="0" applyFont="1" applyFill="1" applyBorder="1" applyAlignment="1" applyProtection="1">
      <alignment vertical="center" wrapText="1"/>
    </xf>
    <xf numFmtId="0" fontId="9" fillId="8" borderId="11" xfId="0" applyFont="1" applyFill="1" applyBorder="1" applyAlignment="1" applyProtection="1">
      <alignment vertical="center" wrapText="1"/>
    </xf>
    <xf numFmtId="0" fontId="9" fillId="11" borderId="13" xfId="0" applyFont="1" applyFill="1" applyBorder="1" applyAlignment="1" applyProtection="1">
      <alignment vertical="center"/>
    </xf>
    <xf numFmtId="0" fontId="9" fillId="8" borderId="26" xfId="0" applyFont="1" applyFill="1" applyBorder="1" applyAlignment="1" applyProtection="1">
      <alignment horizontal="left" vertical="center" wrapText="1"/>
    </xf>
    <xf numFmtId="0" fontId="9" fillId="8" borderId="27" xfId="0" applyFont="1" applyFill="1" applyBorder="1" applyAlignment="1" applyProtection="1">
      <alignment vertical="center" wrapText="1"/>
    </xf>
    <xf numFmtId="0" fontId="9" fillId="10" borderId="11" xfId="0" applyFont="1" applyFill="1" applyBorder="1" applyAlignment="1" applyProtection="1">
      <alignment vertical="center" wrapText="1"/>
    </xf>
    <xf numFmtId="0" fontId="9" fillId="10" borderId="18" xfId="0" applyFont="1" applyFill="1" applyBorder="1" applyAlignment="1" applyProtection="1">
      <alignment vertical="center"/>
    </xf>
    <xf numFmtId="0" fontId="9" fillId="10" borderId="13" xfId="0" applyFont="1" applyFill="1" applyBorder="1" applyAlignment="1" applyProtection="1">
      <alignment vertical="center"/>
    </xf>
    <xf numFmtId="0" fontId="9" fillId="8" borderId="1" xfId="0" applyFont="1" applyFill="1" applyBorder="1" applyAlignment="1" applyProtection="1">
      <alignment vertical="center" wrapText="1"/>
    </xf>
    <xf numFmtId="0" fontId="9" fillId="8" borderId="27" xfId="0" applyFont="1" applyFill="1" applyBorder="1" applyAlignment="1" applyProtection="1">
      <alignment vertical="center"/>
    </xf>
    <xf numFmtId="0" fontId="9" fillId="8" borderId="2" xfId="0" applyFont="1" applyFill="1" applyBorder="1" applyAlignment="1" applyProtection="1">
      <alignment horizontal="center" vertical="center" wrapText="1"/>
    </xf>
    <xf numFmtId="0" fontId="9" fillId="0" borderId="27" xfId="0" applyFont="1" applyFill="1" applyBorder="1" applyAlignment="1" applyProtection="1">
      <alignment vertical="center"/>
    </xf>
    <xf numFmtId="0" fontId="9" fillId="8" borderId="6"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11" fillId="8" borderId="7" xfId="0" applyFont="1" applyFill="1" applyBorder="1" applyAlignment="1" applyProtection="1">
      <alignment vertical="center" wrapText="1"/>
    </xf>
    <xf numFmtId="0" fontId="9" fillId="8" borderId="10" xfId="0" applyFont="1" applyFill="1" applyBorder="1" applyAlignment="1" applyProtection="1">
      <alignment vertical="center" wrapText="1"/>
    </xf>
    <xf numFmtId="0" fontId="9" fillId="8" borderId="19"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26"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1" fillId="0" borderId="7"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1" xfId="0" applyFont="1" applyFill="1" applyBorder="1" applyAlignment="1" applyProtection="1">
      <alignment vertical="center"/>
    </xf>
    <xf numFmtId="0" fontId="9" fillId="0" borderId="1" xfId="0" applyFont="1" applyFill="1" applyBorder="1" applyAlignment="1" applyProtection="1">
      <alignment vertical="center" wrapText="1"/>
    </xf>
    <xf numFmtId="0" fontId="10" fillId="0" borderId="2" xfId="0" applyFont="1" applyFill="1" applyBorder="1" applyAlignment="1" applyProtection="1">
      <alignment horizontal="center" vertical="center" wrapText="1"/>
    </xf>
    <xf numFmtId="0" fontId="9" fillId="8" borderId="1" xfId="0" applyFont="1" applyFill="1" applyBorder="1" applyAlignment="1" applyProtection="1">
      <alignment vertical="center"/>
    </xf>
    <xf numFmtId="0" fontId="9" fillId="8" borderId="11" xfId="0" applyFont="1" applyFill="1" applyBorder="1" applyAlignment="1" applyProtection="1">
      <alignment horizontal="left" vertical="center" wrapText="1"/>
    </xf>
    <xf numFmtId="0" fontId="11" fillId="0" borderId="0" xfId="0" applyFont="1" applyBorder="1" applyAlignment="1" applyProtection="1">
      <alignment vertical="center"/>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11" borderId="13" xfId="0" applyNumberFormat="1" applyFont="1" applyFill="1" applyBorder="1" applyAlignment="1" applyProtection="1">
      <alignment vertical="center"/>
    </xf>
    <xf numFmtId="0" fontId="9" fillId="0" borderId="27" xfId="0" applyNumberFormat="1" applyFont="1" applyFill="1" applyBorder="1" applyAlignment="1" applyProtection="1">
      <alignment vertical="center"/>
    </xf>
    <xf numFmtId="0" fontId="11" fillId="8" borderId="0" xfId="0" applyFont="1" applyFill="1" applyBorder="1" applyAlignment="1" applyProtection="1">
      <alignment vertical="center"/>
    </xf>
    <xf numFmtId="164" fontId="9" fillId="8" borderId="1" xfId="0" applyNumberFormat="1" applyFont="1" applyFill="1" applyBorder="1" applyAlignment="1" applyProtection="1">
      <alignment vertical="center"/>
    </xf>
    <xf numFmtId="164" fontId="9" fillId="8" borderId="3" xfId="0" applyNumberFormat="1" applyFont="1" applyFill="1" applyBorder="1" applyAlignment="1" applyProtection="1">
      <alignment vertical="center"/>
    </xf>
    <xf numFmtId="0" fontId="9" fillId="8" borderId="27" xfId="0" applyNumberFormat="1" applyFont="1" applyFill="1" applyBorder="1" applyAlignment="1" applyProtection="1">
      <alignment vertical="center" wrapText="1"/>
    </xf>
    <xf numFmtId="0" fontId="11" fillId="0" borderId="1" xfId="0" applyFont="1" applyFill="1" applyBorder="1" applyAlignment="1" applyProtection="1">
      <alignment horizontal="left" vertical="center" wrapText="1"/>
    </xf>
    <xf numFmtId="0" fontId="9" fillId="0" borderId="1" xfId="0" applyNumberFormat="1" applyFont="1" applyFill="1" applyBorder="1" applyAlignment="1" applyProtection="1">
      <alignment vertical="center"/>
    </xf>
    <xf numFmtId="0" fontId="9" fillId="0" borderId="27" xfId="0" applyNumberFormat="1" applyFont="1" applyFill="1" applyBorder="1" applyAlignment="1" applyProtection="1">
      <alignment vertical="center" wrapText="1"/>
    </xf>
    <xf numFmtId="0" fontId="9" fillId="0" borderId="27" xfId="0" applyFont="1" applyFill="1" applyBorder="1" applyAlignment="1" applyProtection="1">
      <alignment vertical="center" wrapText="1"/>
    </xf>
    <xf numFmtId="0" fontId="11" fillId="8" borderId="1" xfId="0" applyFont="1" applyFill="1" applyBorder="1" applyAlignment="1" applyProtection="1">
      <alignment horizontal="left" vertical="center" wrapText="1"/>
    </xf>
    <xf numFmtId="0" fontId="9" fillId="10" borderId="1" xfId="0" applyFont="1" applyFill="1" applyBorder="1" applyAlignment="1" applyProtection="1">
      <alignment vertical="center"/>
    </xf>
    <xf numFmtId="0" fontId="9" fillId="10" borderId="27" xfId="0" applyFont="1" applyFill="1" applyBorder="1" applyAlignment="1" applyProtection="1">
      <alignment vertical="center"/>
    </xf>
    <xf numFmtId="0" fontId="9" fillId="8" borderId="1" xfId="0" applyFont="1" applyFill="1" applyBorder="1" applyAlignment="1" applyProtection="1">
      <alignment horizontal="left" vertical="center" wrapText="1"/>
    </xf>
    <xf numFmtId="0" fontId="9" fillId="10" borderId="1" xfId="0" applyNumberFormat="1" applyFont="1" applyFill="1" applyBorder="1" applyAlignment="1" applyProtection="1">
      <alignment vertical="center"/>
    </xf>
    <xf numFmtId="0" fontId="9" fillId="10" borderId="27" xfId="0" applyNumberFormat="1" applyFont="1" applyFill="1" applyBorder="1" applyAlignment="1" applyProtection="1">
      <alignment vertical="center"/>
    </xf>
    <xf numFmtId="0" fontId="9" fillId="8" borderId="11" xfId="0" applyFont="1" applyFill="1" applyBorder="1" applyAlignment="1" applyProtection="1">
      <alignment horizontal="center" vertical="center" wrapText="1"/>
    </xf>
    <xf numFmtId="0" fontId="9" fillId="10" borderId="11" xfId="0" applyFont="1" applyFill="1" applyBorder="1" applyAlignment="1" applyProtection="1">
      <alignment horizontal="center" vertical="center" wrapText="1"/>
    </xf>
    <xf numFmtId="0" fontId="9" fillId="8" borderId="27" xfId="0" applyNumberFormat="1" applyFont="1" applyFill="1" applyBorder="1" applyAlignment="1" applyProtection="1">
      <alignment vertical="center"/>
    </xf>
    <xf numFmtId="0" fontId="11" fillId="8" borderId="1" xfId="0" applyFont="1" applyFill="1" applyBorder="1" applyAlignment="1" applyProtection="1">
      <alignment horizontal="center" vertical="center" wrapText="1"/>
    </xf>
    <xf numFmtId="0" fontId="11" fillId="8" borderId="1" xfId="0" quotePrefix="1" applyFont="1" applyFill="1" applyBorder="1" applyAlignment="1" applyProtection="1">
      <alignment vertical="center" wrapText="1"/>
    </xf>
    <xf numFmtId="0" fontId="11" fillId="0" borderId="1" xfId="0" applyFont="1" applyFill="1" applyBorder="1" applyAlignment="1" applyProtection="1">
      <alignment vertical="center" wrapText="1"/>
    </xf>
    <xf numFmtId="0" fontId="9"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left" vertical="center" wrapText="1"/>
    </xf>
    <xf numFmtId="0" fontId="9" fillId="0" borderId="12" xfId="0" applyFont="1" applyFill="1" applyBorder="1" applyAlignment="1" applyProtection="1">
      <alignment horizontal="center" vertical="center" wrapText="1"/>
    </xf>
    <xf numFmtId="0" fontId="9" fillId="11" borderId="21" xfId="0" applyFont="1" applyFill="1" applyBorder="1" applyAlignment="1" applyProtection="1">
      <alignment horizontal="center" vertical="center" wrapText="1"/>
    </xf>
    <xf numFmtId="0" fontId="9" fillId="0" borderId="0" xfId="0" applyFont="1" applyAlignment="1" applyProtection="1">
      <alignment vertical="center"/>
    </xf>
    <xf numFmtId="0" fontId="13" fillId="0" borderId="0" xfId="0" applyFont="1" applyBorder="1" applyAlignment="1" applyProtection="1">
      <alignment vertical="center"/>
    </xf>
    <xf numFmtId="0" fontId="9" fillId="10" borderId="13" xfId="0" applyNumberFormat="1" applyFont="1" applyFill="1" applyBorder="1" applyAlignment="1" applyProtection="1">
      <alignment vertical="center"/>
    </xf>
    <xf numFmtId="0" fontId="9" fillId="6"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xf>
    <xf numFmtId="0" fontId="9" fillId="8" borderId="19" xfId="0" applyFont="1" applyFill="1" applyBorder="1" applyAlignment="1" applyProtection="1">
      <alignment horizontal="center" vertical="center" wrapText="1"/>
    </xf>
    <xf numFmtId="164" fontId="9" fillId="8" borderId="19" xfId="0" applyNumberFormat="1" applyFont="1" applyFill="1" applyBorder="1" applyAlignment="1" applyProtection="1">
      <alignment horizontal="center" vertical="center" wrapText="1"/>
    </xf>
    <xf numFmtId="164" fontId="9" fillId="6" borderId="18"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xf>
    <xf numFmtId="164" fontId="9" fillId="6" borderId="29" xfId="0" applyNumberFormat="1" applyFont="1" applyFill="1" applyBorder="1" applyAlignment="1" applyProtection="1">
      <alignment horizontal="center" vertical="center" wrapText="1"/>
      <protection locked="0"/>
    </xf>
    <xf numFmtId="0" fontId="9" fillId="10" borderId="7" xfId="0" applyFont="1" applyFill="1" applyBorder="1" applyAlignment="1" applyProtection="1">
      <alignment horizontal="center" vertical="center" wrapText="1"/>
    </xf>
    <xf numFmtId="166" fontId="9" fillId="10" borderId="16" xfId="0" applyNumberFormat="1" applyFont="1" applyFill="1" applyBorder="1" applyAlignment="1" applyProtection="1">
      <alignment horizontal="center" vertical="center" wrapText="1"/>
    </xf>
    <xf numFmtId="166" fontId="9" fillId="10" borderId="19" xfId="0" applyNumberFormat="1" applyFont="1" applyFill="1" applyBorder="1" applyAlignment="1" applyProtection="1">
      <alignment horizontal="center" vertical="center" wrapText="1"/>
    </xf>
    <xf numFmtId="0" fontId="9" fillId="10" borderId="19" xfId="0" applyFont="1" applyFill="1" applyBorder="1" applyAlignment="1" applyProtection="1">
      <alignment horizontal="center" vertical="center" wrapText="1"/>
    </xf>
    <xf numFmtId="167" fontId="9" fillId="6" borderId="18" xfId="0" applyNumberFormat="1" applyFont="1" applyFill="1" applyBorder="1" applyAlignment="1" applyProtection="1">
      <alignment horizontal="center" vertical="center" wrapText="1"/>
      <protection locked="0"/>
    </xf>
    <xf numFmtId="168" fontId="9" fillId="6" borderId="18" xfId="0" applyNumberFormat="1" applyFont="1" applyFill="1" applyBorder="1" applyAlignment="1" applyProtection="1">
      <alignment horizontal="center" vertical="center" wrapText="1"/>
      <protection locked="0"/>
    </xf>
    <xf numFmtId="165" fontId="9" fillId="10" borderId="19" xfId="0" applyNumberFormat="1"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protection locked="0"/>
    </xf>
    <xf numFmtId="0" fontId="9" fillId="11" borderId="18" xfId="0" applyFont="1" applyFill="1" applyBorder="1" applyAlignment="1" applyProtection="1">
      <alignment horizontal="center" vertical="center" wrapText="1"/>
    </xf>
    <xf numFmtId="0" fontId="17" fillId="6" borderId="1" xfId="0" applyFont="1" applyFill="1" applyBorder="1" applyAlignment="1" applyProtection="1">
      <alignment vertical="center" wrapText="1"/>
      <protection locked="0"/>
    </xf>
    <xf numFmtId="0" fontId="20" fillId="0" borderId="0" xfId="0" applyFont="1" applyAlignment="1">
      <alignment horizontal="center" wrapText="1"/>
    </xf>
    <xf numFmtId="0" fontId="9" fillId="6" borderId="18" xfId="0" applyFont="1" applyFill="1" applyBorder="1" applyAlignment="1" applyProtection="1">
      <alignment vertical="center"/>
      <protection locked="0"/>
    </xf>
    <xf numFmtId="170" fontId="9" fillId="6" borderId="18"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7" fillId="3" borderId="1" xfId="0" applyFont="1" applyFill="1" applyBorder="1" applyAlignment="1">
      <alignment horizontal="center"/>
    </xf>
    <xf numFmtId="0" fontId="1" fillId="3" borderId="1" xfId="0" applyFont="1" applyFill="1" applyBorder="1" applyAlignment="1">
      <alignment horizontal="center" wrapText="1"/>
    </xf>
    <xf numFmtId="0" fontId="0" fillId="3" borderId="1" xfId="0" applyFill="1" applyBorder="1" applyAlignment="1">
      <alignment wrapText="1"/>
    </xf>
    <xf numFmtId="0" fontId="2" fillId="3" borderId="13" xfId="0" applyFont="1" applyFill="1" applyBorder="1" applyAlignment="1">
      <alignment horizontal="center" wrapText="1"/>
    </xf>
    <xf numFmtId="0" fontId="1" fillId="3" borderId="0" xfId="0" applyFont="1" applyFill="1" applyBorder="1" applyAlignment="1">
      <alignment horizontal="center" wrapText="1"/>
    </xf>
    <xf numFmtId="0" fontId="0" fillId="3" borderId="0" xfId="0" applyFill="1" applyAlignment="1">
      <alignment wrapText="1"/>
    </xf>
    <xf numFmtId="0" fontId="0" fillId="0" borderId="0" xfId="0" applyFill="1" applyAlignment="1">
      <alignment wrapText="1"/>
    </xf>
    <xf numFmtId="171" fontId="9" fillId="6" borderId="18" xfId="0" applyNumberFormat="1" applyFont="1" applyFill="1" applyBorder="1" applyAlignment="1" applyProtection="1">
      <alignment horizontal="center" vertical="center" wrapText="1"/>
      <protection locked="0"/>
    </xf>
    <xf numFmtId="172" fontId="9" fillId="6" borderId="18" xfId="0" applyNumberFormat="1" applyFont="1" applyFill="1" applyBorder="1" applyAlignment="1" applyProtection="1">
      <alignment horizontal="center" vertical="center" wrapText="1"/>
      <protection locked="0"/>
    </xf>
    <xf numFmtId="173" fontId="9" fillId="6" borderId="18" xfId="0" applyNumberFormat="1"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25" fillId="8" borderId="27" xfId="2" applyFill="1" applyBorder="1" applyAlignment="1" applyProtection="1">
      <alignment vertical="center"/>
    </xf>
    <xf numFmtId="0" fontId="9" fillId="8" borderId="30" xfId="0" applyFont="1" applyFill="1" applyBorder="1" applyAlignment="1" applyProtection="1">
      <alignment horizontal="left" vertical="center" wrapText="1"/>
    </xf>
    <xf numFmtId="0" fontId="9" fillId="8" borderId="10" xfId="0" applyFont="1" applyFill="1" applyBorder="1" applyAlignment="1" applyProtection="1">
      <alignment horizontal="left" vertical="center" wrapText="1"/>
    </xf>
    <xf numFmtId="0" fontId="9" fillId="6" borderId="29"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left" vertical="center" wrapText="1"/>
    </xf>
    <xf numFmtId="174" fontId="9" fillId="6" borderId="18"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justify" vertical="center" wrapText="1"/>
    </xf>
    <xf numFmtId="0" fontId="9" fillId="8" borderId="0" xfId="0" applyFont="1" applyFill="1" applyAlignment="1" applyProtection="1">
      <alignment vertical="center"/>
    </xf>
    <xf numFmtId="0" fontId="9" fillId="8" borderId="0" xfId="0" applyFont="1" applyFill="1" applyAlignment="1">
      <alignment vertical="center"/>
    </xf>
    <xf numFmtId="0" fontId="9" fillId="8" borderId="28" xfId="0"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0" fontId="9" fillId="10" borderId="1" xfId="0" applyFont="1" applyFill="1" applyBorder="1" applyAlignment="1" applyProtection="1">
      <alignment horizontal="center" vertical="center" wrapText="1"/>
    </xf>
    <xf numFmtId="0" fontId="27" fillId="0" borderId="0" xfId="0" applyFont="1" applyAlignment="1">
      <alignment horizontal="right"/>
    </xf>
    <xf numFmtId="0" fontId="17" fillId="0" borderId="0" xfId="0" applyFont="1" applyAlignment="1">
      <alignment horizontal="right" vertical="center"/>
    </xf>
    <xf numFmtId="175" fontId="0" fillId="0" borderId="0" xfId="0" applyNumberFormat="1"/>
    <xf numFmtId="0" fontId="0" fillId="0" borderId="1" xfId="0" applyBorder="1" applyAlignment="1">
      <alignment wrapText="1"/>
    </xf>
    <xf numFmtId="175" fontId="0" fillId="0" borderId="1" xfId="0" applyNumberFormat="1" applyBorder="1" applyAlignment="1">
      <alignment horizontal="center" vertical="center"/>
    </xf>
    <xf numFmtId="0" fontId="0" fillId="0" borderId="1" xfId="0" applyBorder="1" applyAlignment="1">
      <alignment horizontal="center" vertical="center" wrapText="1"/>
    </xf>
    <xf numFmtId="17" fontId="0" fillId="0" borderId="1" xfId="0" applyNumberForma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175" fontId="0" fillId="0" borderId="1" xfId="0" applyNumberFormat="1" applyBorder="1" applyAlignment="1">
      <alignment horizontal="center"/>
    </xf>
    <xf numFmtId="0" fontId="30" fillId="0" borderId="0" xfId="0" applyFont="1" applyFill="1" applyAlignment="1">
      <alignment vertical="top" wrapText="1"/>
    </xf>
    <xf numFmtId="0" fontId="0" fillId="0" borderId="0" xfId="0" applyAlignment="1">
      <alignment horizontal="center" vertical="top" wrapText="1"/>
    </xf>
    <xf numFmtId="0" fontId="0" fillId="6" borderId="0" xfId="0" applyFill="1"/>
    <xf numFmtId="0" fontId="0" fillId="0" borderId="0" xfId="0" applyAlignment="1">
      <alignment horizontal="left" vertical="top" wrapText="1"/>
    </xf>
    <xf numFmtId="0" fontId="0" fillId="6" borderId="0" xfId="0" quotePrefix="1" applyFill="1"/>
    <xf numFmtId="0" fontId="0" fillId="0" borderId="0" xfId="0" applyBorder="1"/>
    <xf numFmtId="0" fontId="0" fillId="0" borderId="18" xfId="0" applyBorder="1" applyAlignment="1">
      <alignment horizontal="center" vertical="top" wrapText="1"/>
    </xf>
    <xf numFmtId="0" fontId="0" fillId="0" borderId="18" xfId="0" applyBorder="1" applyAlignment="1">
      <alignment vertical="top" wrapText="1"/>
    </xf>
    <xf numFmtId="0" fontId="28" fillId="0" borderId="0" xfId="0" applyFont="1" applyAlignment="1">
      <alignment horizontal="center" vertical="top"/>
    </xf>
    <xf numFmtId="0" fontId="0" fillId="0" borderId="0" xfId="0" applyAlignment="1">
      <alignment horizontal="center"/>
    </xf>
    <xf numFmtId="0" fontId="0" fillId="12" borderId="0" xfId="0" applyFill="1" applyAlignment="1">
      <alignment horizontal="center"/>
    </xf>
    <xf numFmtId="0" fontId="28" fillId="0" borderId="0" xfId="0" applyFont="1" applyAlignment="1">
      <alignment horizontal="center" vertical="center"/>
    </xf>
    <xf numFmtId="0" fontId="0" fillId="0" borderId="0" xfId="0" quotePrefix="1" applyAlignment="1">
      <alignment horizontal="center"/>
    </xf>
    <xf numFmtId="0" fontId="0" fillId="12" borderId="0" xfId="0" applyFill="1"/>
    <xf numFmtId="0" fontId="32" fillId="12" borderId="0" xfId="0" applyFont="1" applyFill="1"/>
    <xf numFmtId="0" fontId="9" fillId="8" borderId="16" xfId="0" applyFont="1" applyFill="1" applyBorder="1" applyAlignment="1" applyProtection="1">
      <alignment vertical="center" wrapText="1"/>
    </xf>
    <xf numFmtId="0" fontId="9" fillId="0" borderId="7" xfId="0" applyFont="1" applyFill="1" applyBorder="1" applyAlignment="1" applyProtection="1">
      <alignment horizontal="left" vertical="center" wrapText="1"/>
    </xf>
    <xf numFmtId="0" fontId="29" fillId="0" borderId="0" xfId="0" applyFont="1"/>
    <xf numFmtId="0" fontId="0" fillId="0" borderId="18" xfId="0" applyBorder="1" applyProtection="1">
      <protection locked="0"/>
    </xf>
    <xf numFmtId="0" fontId="25" fillId="0" borderId="0" xfId="2"/>
    <xf numFmtId="0" fontId="0" fillId="0" borderId="30" xfId="0" applyFont="1" applyBorder="1"/>
    <xf numFmtId="0" fontId="0" fillId="0" borderId="32" xfId="0" applyFont="1" applyBorder="1"/>
    <xf numFmtId="0" fontId="0" fillId="0" borderId="33" xfId="0" applyFont="1" applyBorder="1"/>
    <xf numFmtId="0" fontId="0" fillId="0" borderId="34" xfId="0" applyFont="1" applyBorder="1"/>
    <xf numFmtId="0" fontId="0" fillId="0" borderId="10" xfId="0" applyFont="1" applyBorder="1"/>
    <xf numFmtId="0" fontId="0" fillId="0" borderId="35" xfId="0" applyFont="1" applyBorder="1"/>
    <xf numFmtId="0" fontId="0" fillId="0" borderId="30" xfId="0" applyBorder="1" applyAlignment="1">
      <alignment wrapText="1"/>
    </xf>
    <xf numFmtId="0" fontId="0" fillId="0" borderId="36" xfId="0" applyBorder="1" applyAlignment="1">
      <alignment wrapText="1"/>
    </xf>
    <xf numFmtId="0" fontId="0" fillId="0" borderId="32" xfId="0" applyBorder="1" applyAlignment="1">
      <alignment wrapText="1"/>
    </xf>
    <xf numFmtId="0" fontId="0" fillId="0" borderId="36" xfId="0" applyBorder="1"/>
    <xf numFmtId="0" fontId="0" fillId="0" borderId="32" xfId="0" applyBorder="1"/>
    <xf numFmtId="0" fontId="0" fillId="0" borderId="33" xfId="0" applyBorder="1"/>
    <xf numFmtId="176" fontId="0" fillId="0" borderId="0" xfId="3" applyNumberFormat="1" applyFont="1" applyBorder="1"/>
    <xf numFmtId="177" fontId="0" fillId="0" borderId="0" xfId="3" applyNumberFormat="1" applyFont="1" applyBorder="1"/>
    <xf numFmtId="177" fontId="0" fillId="0" borderId="34" xfId="3" applyNumberFormat="1" applyFont="1" applyBorder="1"/>
    <xf numFmtId="0" fontId="36" fillId="0" borderId="0" xfId="0" applyFont="1" applyBorder="1"/>
    <xf numFmtId="0" fontId="0" fillId="0" borderId="34" xfId="0" applyBorder="1"/>
    <xf numFmtId="0" fontId="36" fillId="0" borderId="0" xfId="0" applyFont="1"/>
    <xf numFmtId="0" fontId="36" fillId="0" borderId="33" xfId="0" applyFont="1" applyBorder="1"/>
    <xf numFmtId="0" fontId="0" fillId="0" borderId="10" xfId="0" applyBorder="1"/>
    <xf numFmtId="0" fontId="0" fillId="0" borderId="37" xfId="0" applyBorder="1"/>
    <xf numFmtId="176" fontId="0" fillId="0" borderId="37" xfId="3" applyNumberFormat="1" applyFont="1" applyBorder="1"/>
    <xf numFmtId="177" fontId="0" fillId="0" borderId="37" xfId="3" applyNumberFormat="1" applyFont="1" applyBorder="1"/>
    <xf numFmtId="177" fontId="0" fillId="0" borderId="35" xfId="3" applyNumberFormat="1" applyFont="1" applyBorder="1"/>
    <xf numFmtId="0" fontId="0" fillId="0" borderId="35" xfId="0" applyBorder="1"/>
    <xf numFmtId="0" fontId="0" fillId="0" borderId="30" xfId="0" applyBorder="1"/>
    <xf numFmtId="178" fontId="0" fillId="0" borderId="0" xfId="3" applyNumberFormat="1" applyFont="1" applyBorder="1"/>
    <xf numFmtId="178" fontId="0" fillId="0" borderId="34" xfId="3" applyNumberFormat="1" applyFont="1" applyBorder="1"/>
    <xf numFmtId="178" fontId="0" fillId="0" borderId="37" xfId="3" applyNumberFormat="1" applyFont="1" applyBorder="1"/>
    <xf numFmtId="178" fontId="0" fillId="0" borderId="35" xfId="3" applyNumberFormat="1" applyFont="1" applyBorder="1"/>
    <xf numFmtId="178" fontId="0" fillId="0" borderId="0" xfId="3" applyNumberFormat="1" applyFont="1" applyFill="1"/>
    <xf numFmtId="0" fontId="0" fillId="0" borderId="0" xfId="0" applyFont="1"/>
    <xf numFmtId="2" fontId="0" fillId="0" borderId="0" xfId="0" applyNumberFormat="1" applyFont="1"/>
    <xf numFmtId="179" fontId="0" fillId="0" borderId="0" xfId="0" applyNumberFormat="1" applyFont="1"/>
    <xf numFmtId="178" fontId="0" fillId="0" borderId="0" xfId="3" applyNumberFormat="1" applyFont="1"/>
    <xf numFmtId="178" fontId="32" fillId="0" borderId="0" xfId="0" applyNumberFormat="1" applyFont="1" applyFill="1" applyAlignment="1">
      <alignment horizontal="center"/>
    </xf>
    <xf numFmtId="14" fontId="0" fillId="0" borderId="1" xfId="0" applyNumberFormat="1" applyBorder="1" applyAlignment="1">
      <alignment horizontal="center" vertical="center"/>
    </xf>
    <xf numFmtId="0" fontId="1" fillId="3" borderId="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9" fillId="10" borderId="27" xfId="0" applyNumberFormat="1" applyFont="1" applyFill="1" applyBorder="1" applyAlignment="1" applyProtection="1">
      <alignment vertical="center" wrapText="1"/>
    </xf>
    <xf numFmtId="0" fontId="1" fillId="3" borderId="13" xfId="0" applyFont="1" applyFill="1" applyBorder="1" applyAlignment="1">
      <alignment horizontal="center" vertical="center" wrapText="1"/>
    </xf>
    <xf numFmtId="173" fontId="33" fillId="0" borderId="18" xfId="0" applyNumberFormat="1" applyFont="1" applyFill="1" applyBorder="1" applyAlignment="1" applyProtection="1">
      <alignment horizontal="center" vertical="center" wrapText="1"/>
    </xf>
    <xf numFmtId="0" fontId="9" fillId="10" borderId="1" xfId="0" applyFont="1" applyFill="1" applyBorder="1" applyAlignment="1" applyProtection="1">
      <alignment vertical="center" wrapText="1"/>
    </xf>
    <xf numFmtId="0" fontId="17" fillId="0" borderId="0" xfId="0" applyFont="1" applyAlignment="1">
      <alignment vertical="center" wrapText="1"/>
    </xf>
    <xf numFmtId="0" fontId="17" fillId="6" borderId="8" xfId="0" applyFont="1" applyFill="1" applyBorder="1" applyAlignment="1" applyProtection="1">
      <alignment horizontal="center" vertical="center"/>
      <protection locked="0"/>
    </xf>
    <xf numFmtId="0" fontId="17" fillId="6" borderId="38" xfId="0" applyFont="1" applyFill="1" applyBorder="1" applyAlignment="1" applyProtection="1">
      <alignment vertical="center"/>
      <protection locked="0"/>
    </xf>
    <xf numFmtId="169" fontId="9" fillId="10" borderId="19" xfId="0" applyNumberFormat="1" applyFont="1" applyFill="1" applyBorder="1" applyAlignment="1" applyProtection="1">
      <alignment horizontal="center" vertical="center" wrapText="1"/>
    </xf>
    <xf numFmtId="0" fontId="9" fillId="11" borderId="13" xfId="0" applyFont="1" applyFill="1" applyBorder="1" applyAlignment="1" applyProtection="1">
      <alignment horizontal="right" vertical="center"/>
    </xf>
    <xf numFmtId="0" fontId="38" fillId="3"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9" fillId="3" borderId="1" xfId="0" applyFont="1" applyFill="1" applyBorder="1" applyAlignment="1">
      <alignment horizontal="center"/>
    </xf>
    <xf numFmtId="0" fontId="28" fillId="3" borderId="0" xfId="0" applyFont="1" applyFill="1" applyBorder="1" applyAlignment="1">
      <alignment wrapText="1"/>
    </xf>
    <xf numFmtId="0" fontId="0" fillId="0" borderId="0" xfId="0" applyProtection="1">
      <protection locked="0"/>
    </xf>
    <xf numFmtId="0" fontId="25" fillId="8" borderId="27" xfId="2" applyFill="1" applyBorder="1" applyAlignment="1" applyProtection="1">
      <alignment vertical="center"/>
      <protection locked="0"/>
    </xf>
    <xf numFmtId="9" fontId="9" fillId="6" borderId="18" xfId="0" applyNumberFormat="1" applyFont="1" applyFill="1" applyBorder="1" applyAlignment="1" applyProtection="1">
      <alignment horizontal="center" vertical="center" wrapText="1"/>
      <protection locked="0"/>
    </xf>
    <xf numFmtId="0" fontId="0" fillId="0" borderId="1" xfId="0" applyBorder="1"/>
    <xf numFmtId="0" fontId="33" fillId="8" borderId="11" xfId="0" applyFont="1" applyFill="1" applyBorder="1" applyAlignment="1" applyProtection="1">
      <alignment horizontal="center" vertical="center" wrapText="1"/>
    </xf>
    <xf numFmtId="0" fontId="34" fillId="0" borderId="31"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30" xfId="0" applyFill="1" applyBorder="1" applyAlignment="1">
      <alignment horizontal="center" wrapText="1"/>
    </xf>
    <xf numFmtId="0" fontId="0" fillId="0" borderId="36" xfId="0" applyFill="1" applyBorder="1" applyAlignment="1">
      <alignment horizontal="center" wrapText="1"/>
    </xf>
    <xf numFmtId="0" fontId="0" fillId="0" borderId="32" xfId="0" applyFill="1" applyBorder="1" applyAlignment="1">
      <alignment horizont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28" fillId="0" borderId="18" xfId="0" applyFont="1" applyBorder="1" applyAlignment="1">
      <alignment horizontal="center"/>
    </xf>
    <xf numFmtId="0" fontId="20" fillId="0" borderId="0" xfId="0" applyFont="1" applyAlignment="1">
      <alignment horizontal="center" vertical="top" wrapText="1"/>
    </xf>
    <xf numFmtId="0" fontId="28" fillId="0" borderId="1" xfId="0" applyFont="1" applyBorder="1" applyAlignment="1">
      <alignment horizontal="center"/>
    </xf>
    <xf numFmtId="178" fontId="9" fillId="6" borderId="18" xfId="0" applyNumberFormat="1" applyFont="1" applyFill="1" applyBorder="1" applyAlignment="1" applyProtection="1">
      <alignment horizontal="center" vertical="center" wrapText="1"/>
      <protection locked="0"/>
    </xf>
  </cellXfs>
  <cellStyles count="4">
    <cellStyle name="Hyperlink" xfId="2" builtinId="8"/>
    <cellStyle name="Normal" xfId="0" builtinId="0"/>
    <cellStyle name="Normal_Lists" xfId="1" xr:uid="{00000000-0005-0000-0000-000002000000}"/>
    <cellStyle name="Percent" xfId="3" builtinId="5"/>
  </cellStyles>
  <dxfs count="5">
    <dxf>
      <font>
        <color theme="1"/>
      </font>
    </dxf>
    <dxf>
      <fill>
        <patternFill>
          <bgColor rgb="FFFF0000"/>
        </patternFill>
      </fill>
    </dxf>
    <dxf>
      <fill>
        <patternFill>
          <bgColor theme="1" tint="0.499984740745262"/>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m-pcdb.org.uk/sap/pcdbsearch.jsp?fuel=0&amp;type=371&amp;brand=&amp;model=&amp;modelQualifier=&amp;pid=43" TargetMode="External"/><Relationship Id="rId1" Type="http://schemas.openxmlformats.org/officeDocument/2006/relationships/hyperlink" Target="http://www.ncm-pcdb.org.uk/sap/pcdbsearch.jsp?fuel=0&amp;type=371&amp;brand=&amp;model=&amp;modelQualifier=&amp;pid=4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ncm-pcdb.org.uk/sap/page.jsp?id=19"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3"/>
  <sheetViews>
    <sheetView tabSelected="1" topLeftCell="B1" workbookViewId="0">
      <selection activeCell="B1" sqref="B1"/>
    </sheetView>
  </sheetViews>
  <sheetFormatPr defaultColWidth="0" defaultRowHeight="14.4" zeroHeight="1"/>
  <cols>
    <col min="1" max="1" width="5.88671875" customWidth="1"/>
    <col min="2" max="2" width="156.44140625" customWidth="1"/>
    <col min="3" max="16384" width="9.109375" hidden="1"/>
  </cols>
  <sheetData>
    <row r="1" spans="1:2" ht="42">
      <c r="B1" s="181" t="s">
        <v>457</v>
      </c>
    </row>
    <row r="2" spans="1:2" ht="15.6">
      <c r="B2" s="211" t="s">
        <v>670</v>
      </c>
    </row>
    <row r="3" spans="1:2">
      <c r="B3" s="83" t="s">
        <v>424</v>
      </c>
    </row>
    <row r="4" spans="1:2"/>
    <row r="5" spans="1:2">
      <c r="A5" s="92">
        <v>1</v>
      </c>
      <c r="B5" s="79" t="s">
        <v>449</v>
      </c>
    </row>
    <row r="6" spans="1:2">
      <c r="A6" s="92"/>
      <c r="B6" s="79"/>
    </row>
    <row r="7" spans="1:2">
      <c r="A7" s="92">
        <v>2</v>
      </c>
      <c r="B7" s="79" t="s">
        <v>452</v>
      </c>
    </row>
    <row r="8" spans="1:2">
      <c r="A8" s="92"/>
      <c r="B8" s="79"/>
    </row>
    <row r="9" spans="1:2" ht="43.2">
      <c r="A9" s="92">
        <v>3</v>
      </c>
      <c r="B9" s="79" t="s">
        <v>508</v>
      </c>
    </row>
    <row r="10" spans="1:2">
      <c r="A10" s="92"/>
      <c r="B10" s="79"/>
    </row>
    <row r="11" spans="1:2" ht="28.8">
      <c r="A11" s="92">
        <v>4</v>
      </c>
      <c r="B11" s="79" t="s">
        <v>546</v>
      </c>
    </row>
    <row r="12" spans="1:2">
      <c r="A12" s="92"/>
      <c r="B12" s="79"/>
    </row>
    <row r="13" spans="1:2" ht="28.8">
      <c r="A13" s="92">
        <v>5</v>
      </c>
      <c r="B13" s="79" t="s">
        <v>453</v>
      </c>
    </row>
    <row r="14" spans="1:2">
      <c r="B14" s="77"/>
    </row>
    <row r="15" spans="1:2">
      <c r="B15" s="221" t="s">
        <v>547</v>
      </c>
    </row>
    <row r="16" spans="1:2" hidden="1">
      <c r="B16" s="77"/>
    </row>
    <row r="17" spans="2:2" hidden="1">
      <c r="B17" s="77"/>
    </row>
    <row r="18" spans="2:2" hidden="1">
      <c r="B18" s="77"/>
    </row>
    <row r="19" spans="2:2" hidden="1"/>
    <row r="20" spans="2:2" hidden="1"/>
    <row r="21" spans="2:2" hidden="1"/>
    <row r="22" spans="2:2" hidden="1">
      <c r="B22" s="84"/>
    </row>
    <row r="23" spans="2:2" hidden="1"/>
    <row r="24" spans="2:2" hidden="1"/>
    <row r="25" spans="2:2" hidden="1"/>
    <row r="26" spans="2:2" hidden="1"/>
    <row r="27" spans="2:2" hidden="1"/>
    <row r="28" spans="2:2" hidden="1"/>
    <row r="29" spans="2:2" hidden="1"/>
    <row r="30" spans="2:2" hidden="1"/>
    <row r="31" spans="2:2" hidden="1"/>
    <row r="32" spans="2:2" hidden="1"/>
    <row r="33" hidden="1"/>
  </sheetData>
  <sheetProtection algorithmName="SHA-512" hashValue="H1YrC0T856szEDlvnf5YFBeUSu9YpXCklLlFWn3gmHfibeUXD/grVEysT6nxwnWYN/xnes7RpmXtScNKPSbb+A==" saltValue="89FUF82sXn0jVK73O1hdaw==" spinCount="100000" sheet="1" objects="1" scenarios="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BB6"/>
  <sheetViews>
    <sheetView workbookViewId="0"/>
  </sheetViews>
  <sheetFormatPr defaultRowHeight="14.4"/>
  <cols>
    <col min="1" max="1" width="9" bestFit="1" customWidth="1"/>
    <col min="2" max="2" width="14.33203125" bestFit="1" customWidth="1"/>
    <col min="12" max="12" width="14.5546875" bestFit="1" customWidth="1"/>
  </cols>
  <sheetData>
    <row r="1" spans="1:54">
      <c r="A1" s="229"/>
      <c r="B1" s="229"/>
      <c r="V1" s="230" t="s">
        <v>565</v>
      </c>
      <c r="W1" s="230">
        <v>1</v>
      </c>
      <c r="X1" s="230">
        <v>2</v>
      </c>
      <c r="Y1" s="230">
        <v>3</v>
      </c>
      <c r="Z1" s="230">
        <v>4</v>
      </c>
      <c r="AA1" s="230">
        <v>5</v>
      </c>
      <c r="AB1" s="230">
        <v>6</v>
      </c>
      <c r="AC1" s="230">
        <v>7</v>
      </c>
      <c r="AD1" s="230">
        <v>8</v>
      </c>
      <c r="AE1" s="230">
        <v>9</v>
      </c>
      <c r="AF1" s="230">
        <v>10</v>
      </c>
      <c r="AG1" s="230">
        <v>11</v>
      </c>
      <c r="AH1" s="230">
        <v>12</v>
      </c>
      <c r="AI1" s="230">
        <v>13</v>
      </c>
      <c r="AJ1" s="230">
        <v>14</v>
      </c>
      <c r="AK1" s="231">
        <v>15</v>
      </c>
      <c r="AL1" s="231">
        <v>16</v>
      </c>
      <c r="AM1" s="231">
        <v>17</v>
      </c>
      <c r="AN1" s="231">
        <v>18</v>
      </c>
      <c r="AO1" s="231">
        <v>19</v>
      </c>
      <c r="AP1" s="231">
        <v>20</v>
      </c>
      <c r="AQ1" s="231">
        <v>21</v>
      </c>
      <c r="AR1" s="231">
        <v>22</v>
      </c>
      <c r="AS1" s="231">
        <v>23</v>
      </c>
      <c r="AT1" s="231">
        <v>24</v>
      </c>
      <c r="AU1" s="231">
        <v>25</v>
      </c>
      <c r="AV1" s="231">
        <v>26</v>
      </c>
      <c r="AW1" s="231">
        <v>27</v>
      </c>
      <c r="AX1" s="231">
        <v>28</v>
      </c>
      <c r="AY1" s="231">
        <v>29</v>
      </c>
      <c r="AZ1" s="231">
        <v>30</v>
      </c>
      <c r="BA1" s="231">
        <v>31</v>
      </c>
      <c r="BB1" s="231">
        <v>32</v>
      </c>
    </row>
    <row r="2" spans="1:54">
      <c r="A2" s="232" t="s">
        <v>566</v>
      </c>
      <c r="B2" s="232" t="s">
        <v>567</v>
      </c>
      <c r="C2" s="230"/>
      <c r="D2" s="230"/>
      <c r="E2" s="230"/>
      <c r="F2" s="230"/>
      <c r="G2" s="230"/>
      <c r="H2" s="230"/>
      <c r="I2" s="230"/>
      <c r="J2" s="230"/>
      <c r="K2" s="230"/>
      <c r="L2" s="230"/>
      <c r="M2" s="230"/>
      <c r="N2" s="230"/>
      <c r="O2" s="230"/>
      <c r="P2" s="230"/>
      <c r="Q2" s="230"/>
      <c r="R2" s="230"/>
      <c r="S2" s="230"/>
      <c r="T2" s="230"/>
      <c r="U2" s="230"/>
      <c r="V2" s="230" t="s">
        <v>568</v>
      </c>
      <c r="W2" s="230">
        <v>1</v>
      </c>
      <c r="X2" s="230">
        <v>2</v>
      </c>
      <c r="Y2" s="230">
        <v>4</v>
      </c>
      <c r="Z2" s="230">
        <v>8</v>
      </c>
      <c r="AA2" s="230">
        <v>1</v>
      </c>
      <c r="AB2" s="230">
        <v>2</v>
      </c>
      <c r="AC2" s="230">
        <v>4</v>
      </c>
      <c r="AD2" s="230">
        <v>8</v>
      </c>
      <c r="AE2" s="230">
        <v>1</v>
      </c>
      <c r="AF2" s="230">
        <v>2</v>
      </c>
      <c r="AG2" s="230">
        <v>4</v>
      </c>
      <c r="AH2" s="230">
        <v>8</v>
      </c>
      <c r="AI2" s="230">
        <v>1</v>
      </c>
      <c r="AJ2" s="230">
        <v>2</v>
      </c>
      <c r="AK2" s="231">
        <v>4</v>
      </c>
      <c r="AL2" s="231">
        <v>8</v>
      </c>
      <c r="AM2" s="231">
        <v>1</v>
      </c>
      <c r="AN2" s="231">
        <v>2</v>
      </c>
      <c r="AO2" s="231">
        <v>4</v>
      </c>
      <c r="AP2" s="231">
        <v>8</v>
      </c>
      <c r="AQ2" s="231">
        <v>1</v>
      </c>
      <c r="AR2" s="231">
        <v>2</v>
      </c>
      <c r="AS2" s="231">
        <v>4</v>
      </c>
      <c r="AT2" s="231">
        <v>8</v>
      </c>
      <c r="AU2" s="231">
        <v>1</v>
      </c>
      <c r="AV2" s="231">
        <v>2</v>
      </c>
      <c r="AW2" s="231">
        <v>4</v>
      </c>
      <c r="AX2" s="231">
        <v>8</v>
      </c>
      <c r="AY2" s="231">
        <v>1</v>
      </c>
      <c r="AZ2" s="231">
        <v>2</v>
      </c>
      <c r="BA2" s="231">
        <v>4</v>
      </c>
      <c r="BB2" s="231">
        <v>8</v>
      </c>
    </row>
    <row r="3" spans="1:54">
      <c r="A3" s="230" t="str">
        <f>CONCATENATE(T3,S3,R3,Q3,P3,O3,N3,M3)</f>
        <v>00000004</v>
      </c>
      <c r="B3" s="230" t="str">
        <f>IF(LEFT(A3,4)="0000",RIGHT(A3,4),A3)</f>
        <v>0004</v>
      </c>
      <c r="C3" s="230" t="s">
        <v>569</v>
      </c>
      <c r="D3" s="230">
        <f>SUM(W3:Z3)</f>
        <v>4</v>
      </c>
      <c r="E3" s="230">
        <f>SUM(AA3:AD3)</f>
        <v>0</v>
      </c>
      <c r="F3" s="230">
        <f>SUM(AE3:AH3)</f>
        <v>0</v>
      </c>
      <c r="G3" s="230">
        <f>SUM(AI3:AL3)</f>
        <v>0</v>
      </c>
      <c r="H3" s="233">
        <f>SUM(AM3:AP3)</f>
        <v>0</v>
      </c>
      <c r="I3" s="230">
        <f>SUM(AQ3:AT3)</f>
        <v>0</v>
      </c>
      <c r="J3" s="230">
        <f>SUM(AU3:AX3)</f>
        <v>0</v>
      </c>
      <c r="K3" s="230">
        <f>SUM(AY3:BB3)</f>
        <v>0</v>
      </c>
      <c r="L3" s="230" t="s">
        <v>570</v>
      </c>
      <c r="M3" s="230">
        <f t="shared" ref="M3:T3" si="0">IF(D3&lt;10,D3,CHAR(D3+55))</f>
        <v>4</v>
      </c>
      <c r="N3" s="230">
        <f t="shared" si="0"/>
        <v>0</v>
      </c>
      <c r="O3" s="230">
        <f t="shared" si="0"/>
        <v>0</v>
      </c>
      <c r="P3" s="230">
        <f t="shared" si="0"/>
        <v>0</v>
      </c>
      <c r="Q3" s="230">
        <f t="shared" si="0"/>
        <v>0</v>
      </c>
      <c r="R3" s="230">
        <f t="shared" si="0"/>
        <v>0</v>
      </c>
      <c r="S3" s="230">
        <f t="shared" si="0"/>
        <v>0</v>
      </c>
      <c r="T3" s="230">
        <f t="shared" si="0"/>
        <v>0</v>
      </c>
      <c r="U3" s="230"/>
      <c r="V3" s="230" t="s">
        <v>571</v>
      </c>
      <c r="W3" s="230">
        <f>IF('Table 372 - Features'!A6="YES",W2,0)</f>
        <v>0</v>
      </c>
      <c r="X3" s="230">
        <f>IF('Table 372 - Features'!B6="YES",X2,0)</f>
        <v>0</v>
      </c>
      <c r="Y3" s="230">
        <f>IF('Table 372 - Features'!C6="YES",Y2,0)</f>
        <v>4</v>
      </c>
      <c r="Z3" s="231">
        <f>IF('Table 372 - Features'!D6="YES",Z2,0)</f>
        <v>0</v>
      </c>
      <c r="AA3" s="230">
        <f>IF('Table 372 - Features'!E6="YES",AA2,0)</f>
        <v>0</v>
      </c>
      <c r="AB3" s="230">
        <f>IF('Table 372 - Features'!F6="YES",AB2,0)</f>
        <v>0</v>
      </c>
      <c r="AC3" s="230">
        <f>IF('Table 372 - Features'!G6="YES",AC2,0)</f>
        <v>0</v>
      </c>
      <c r="AD3" s="230">
        <f>IF('Table 372 - Features'!H6="YES",AD2,0)</f>
        <v>0</v>
      </c>
      <c r="AE3" s="230">
        <f>IF('Table 372 - Features'!I6="YES",AE2,0)</f>
        <v>0</v>
      </c>
      <c r="AF3" s="230">
        <f>IF('Table 372 - Features'!J6="YES",AF2,0)</f>
        <v>0</v>
      </c>
      <c r="AG3" s="230">
        <f>IF('Table 372 - Features'!K6="YES",AG2,0)</f>
        <v>0</v>
      </c>
      <c r="AH3" s="230">
        <f>IF('Table 372 - Features'!L6="YES",AH2,0)</f>
        <v>0</v>
      </c>
      <c r="AI3" s="230">
        <f>IF('Table 372 - Features'!M6="YES",AI2,0)</f>
        <v>0</v>
      </c>
      <c r="AJ3" s="230">
        <f>IF('Table 372 - Features'!N6="YES",AJ2,0)</f>
        <v>0</v>
      </c>
      <c r="AK3" s="231">
        <v>0</v>
      </c>
      <c r="AL3" s="231">
        <v>0</v>
      </c>
      <c r="AM3" s="231">
        <v>0</v>
      </c>
      <c r="AN3" s="231">
        <v>0</v>
      </c>
      <c r="AO3" s="231">
        <v>0</v>
      </c>
      <c r="AP3" s="231">
        <v>0</v>
      </c>
      <c r="AQ3" s="231">
        <v>0</v>
      </c>
      <c r="AR3" s="231">
        <v>0</v>
      </c>
      <c r="AS3" s="231">
        <v>0</v>
      </c>
      <c r="AT3" s="231">
        <v>0</v>
      </c>
      <c r="AU3" s="231">
        <v>0</v>
      </c>
      <c r="AV3" s="231">
        <v>0</v>
      </c>
      <c r="AW3" s="231">
        <v>0</v>
      </c>
      <c r="AX3" s="231">
        <v>0</v>
      </c>
      <c r="AY3" s="231">
        <v>0</v>
      </c>
      <c r="AZ3" s="231">
        <v>0</v>
      </c>
      <c r="BA3" s="231">
        <v>0</v>
      </c>
      <c r="BB3" s="231">
        <v>0</v>
      </c>
    </row>
    <row r="6" spans="1:54">
      <c r="A6" s="234" t="s">
        <v>572</v>
      </c>
      <c r="B6" s="235"/>
      <c r="C6" s="235"/>
    </row>
  </sheetData>
  <sheetProtection algorithmName="SHA-512" hashValue="khRR5MzIqrDtou9udnOyQEyzlhaA5ELqHir5HwFrG3ekCjv4cf8dHS2NRp9tg6l/aifsA6sX/jl0JoxG73rLRA==" saltValue="zfEWhUbUCXs9YeYGPq5w4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45"/>
  <sheetViews>
    <sheetView workbookViewId="0">
      <selection activeCell="A62" sqref="A62"/>
    </sheetView>
  </sheetViews>
  <sheetFormatPr defaultRowHeight="14.4"/>
  <cols>
    <col min="1" max="1" width="13.109375" customWidth="1"/>
    <col min="2" max="2" width="12.5546875" customWidth="1"/>
  </cols>
  <sheetData>
    <row r="1" spans="1:2">
      <c r="A1" t="s">
        <v>219</v>
      </c>
      <c r="B1" t="s">
        <v>220</v>
      </c>
    </row>
    <row r="2" spans="1:2">
      <c r="A2" t="s">
        <v>223</v>
      </c>
      <c r="B2" t="s">
        <v>223</v>
      </c>
    </row>
    <row r="3" spans="1:2">
      <c r="A3">
        <v>1990</v>
      </c>
      <c r="B3" t="s">
        <v>221</v>
      </c>
    </row>
    <row r="4" spans="1:2">
      <c r="A4">
        <v>1991</v>
      </c>
      <c r="B4">
        <f>A3</f>
        <v>1990</v>
      </c>
    </row>
    <row r="5" spans="1:2">
      <c r="A5">
        <v>1992</v>
      </c>
      <c r="B5">
        <f t="shared" ref="B5:B44" si="0">A4</f>
        <v>1991</v>
      </c>
    </row>
    <row r="6" spans="1:2">
      <c r="A6">
        <v>1993</v>
      </c>
      <c r="B6">
        <f t="shared" si="0"/>
        <v>1992</v>
      </c>
    </row>
    <row r="7" spans="1:2">
      <c r="A7">
        <v>1994</v>
      </c>
      <c r="B7">
        <f t="shared" si="0"/>
        <v>1993</v>
      </c>
    </row>
    <row r="8" spans="1:2">
      <c r="A8">
        <v>1995</v>
      </c>
      <c r="B8">
        <f t="shared" si="0"/>
        <v>1994</v>
      </c>
    </row>
    <row r="9" spans="1:2">
      <c r="A9">
        <v>1996</v>
      </c>
      <c r="B9">
        <f t="shared" si="0"/>
        <v>1995</v>
      </c>
    </row>
    <row r="10" spans="1:2">
      <c r="A10">
        <v>1997</v>
      </c>
      <c r="B10">
        <f t="shared" si="0"/>
        <v>1996</v>
      </c>
    </row>
    <row r="11" spans="1:2">
      <c r="A11">
        <v>1998</v>
      </c>
      <c r="B11">
        <f t="shared" si="0"/>
        <v>1997</v>
      </c>
    </row>
    <row r="12" spans="1:2">
      <c r="A12">
        <v>1999</v>
      </c>
      <c r="B12">
        <f t="shared" si="0"/>
        <v>1998</v>
      </c>
    </row>
    <row r="13" spans="1:2">
      <c r="A13">
        <v>2000</v>
      </c>
      <c r="B13">
        <f t="shared" si="0"/>
        <v>1999</v>
      </c>
    </row>
    <row r="14" spans="1:2">
      <c r="A14">
        <v>2001</v>
      </c>
      <c r="B14">
        <f t="shared" si="0"/>
        <v>2000</v>
      </c>
    </row>
    <row r="15" spans="1:2">
      <c r="A15">
        <v>2002</v>
      </c>
      <c r="B15">
        <f t="shared" si="0"/>
        <v>2001</v>
      </c>
    </row>
    <row r="16" spans="1:2">
      <c r="A16">
        <v>2003</v>
      </c>
      <c r="B16">
        <f t="shared" si="0"/>
        <v>2002</v>
      </c>
    </row>
    <row r="17" spans="1:2">
      <c r="A17">
        <v>2004</v>
      </c>
      <c r="B17">
        <f t="shared" si="0"/>
        <v>2003</v>
      </c>
    </row>
    <row r="18" spans="1:2">
      <c r="A18">
        <v>2005</v>
      </c>
      <c r="B18">
        <f t="shared" si="0"/>
        <v>2004</v>
      </c>
    </row>
    <row r="19" spans="1:2">
      <c r="A19">
        <v>2006</v>
      </c>
      <c r="B19">
        <f t="shared" si="0"/>
        <v>2005</v>
      </c>
    </row>
    <row r="20" spans="1:2">
      <c r="A20">
        <v>2007</v>
      </c>
      <c r="B20">
        <f t="shared" si="0"/>
        <v>2006</v>
      </c>
    </row>
    <row r="21" spans="1:2">
      <c r="A21">
        <v>2008</v>
      </c>
      <c r="B21">
        <f t="shared" si="0"/>
        <v>2007</v>
      </c>
    </row>
    <row r="22" spans="1:2">
      <c r="A22">
        <v>2009</v>
      </c>
      <c r="B22">
        <f t="shared" si="0"/>
        <v>2008</v>
      </c>
    </row>
    <row r="23" spans="1:2">
      <c r="A23">
        <v>2010</v>
      </c>
      <c r="B23">
        <f t="shared" si="0"/>
        <v>2009</v>
      </c>
    </row>
    <row r="24" spans="1:2">
      <c r="A24">
        <v>2011</v>
      </c>
      <c r="B24">
        <f t="shared" si="0"/>
        <v>2010</v>
      </c>
    </row>
    <row r="25" spans="1:2">
      <c r="A25">
        <v>2012</v>
      </c>
      <c r="B25">
        <f t="shared" si="0"/>
        <v>2011</v>
      </c>
    </row>
    <row r="26" spans="1:2">
      <c r="A26">
        <v>2013</v>
      </c>
      <c r="B26">
        <f t="shared" si="0"/>
        <v>2012</v>
      </c>
    </row>
    <row r="27" spans="1:2">
      <c r="A27">
        <v>2014</v>
      </c>
      <c r="B27">
        <f t="shared" si="0"/>
        <v>2013</v>
      </c>
    </row>
    <row r="28" spans="1:2">
      <c r="A28">
        <v>2015</v>
      </c>
      <c r="B28">
        <f t="shared" si="0"/>
        <v>2014</v>
      </c>
    </row>
    <row r="29" spans="1:2">
      <c r="A29">
        <v>2016</v>
      </c>
      <c r="B29">
        <f t="shared" si="0"/>
        <v>2015</v>
      </c>
    </row>
    <row r="30" spans="1:2">
      <c r="A30">
        <v>2017</v>
      </c>
      <c r="B30">
        <f t="shared" si="0"/>
        <v>2016</v>
      </c>
    </row>
    <row r="31" spans="1:2">
      <c r="A31">
        <v>2018</v>
      </c>
      <c r="B31">
        <f t="shared" si="0"/>
        <v>2017</v>
      </c>
    </row>
    <row r="32" spans="1:2">
      <c r="A32">
        <v>2019</v>
      </c>
      <c r="B32">
        <f t="shared" si="0"/>
        <v>2018</v>
      </c>
    </row>
    <row r="33" spans="1:2">
      <c r="A33">
        <v>2020</v>
      </c>
      <c r="B33">
        <f t="shared" si="0"/>
        <v>2019</v>
      </c>
    </row>
    <row r="34" spans="1:2">
      <c r="A34">
        <v>2021</v>
      </c>
      <c r="B34">
        <f t="shared" si="0"/>
        <v>2020</v>
      </c>
    </row>
    <row r="35" spans="1:2">
      <c r="A35">
        <v>2022</v>
      </c>
      <c r="B35">
        <f t="shared" si="0"/>
        <v>2021</v>
      </c>
    </row>
    <row r="36" spans="1:2">
      <c r="A36">
        <v>2023</v>
      </c>
      <c r="B36">
        <f t="shared" si="0"/>
        <v>2022</v>
      </c>
    </row>
    <row r="37" spans="1:2">
      <c r="A37">
        <v>2024</v>
      </c>
      <c r="B37">
        <f t="shared" si="0"/>
        <v>2023</v>
      </c>
    </row>
    <row r="38" spans="1:2">
      <c r="A38">
        <v>2025</v>
      </c>
      <c r="B38">
        <f t="shared" si="0"/>
        <v>2024</v>
      </c>
    </row>
    <row r="39" spans="1:2">
      <c r="A39">
        <v>2026</v>
      </c>
      <c r="B39">
        <f t="shared" si="0"/>
        <v>2025</v>
      </c>
    </row>
    <row r="40" spans="1:2">
      <c r="A40">
        <v>2027</v>
      </c>
      <c r="B40">
        <f t="shared" si="0"/>
        <v>2026</v>
      </c>
    </row>
    <row r="41" spans="1:2">
      <c r="A41">
        <v>2028</v>
      </c>
      <c r="B41">
        <f t="shared" si="0"/>
        <v>2027</v>
      </c>
    </row>
    <row r="42" spans="1:2">
      <c r="A42">
        <v>2029</v>
      </c>
      <c r="B42">
        <f t="shared" si="0"/>
        <v>2028</v>
      </c>
    </row>
    <row r="43" spans="1:2">
      <c r="A43">
        <v>2030</v>
      </c>
      <c r="B43">
        <f t="shared" si="0"/>
        <v>2029</v>
      </c>
    </row>
    <row r="44" spans="1:2">
      <c r="B44">
        <f t="shared" si="0"/>
        <v>2030</v>
      </c>
    </row>
    <row r="45" spans="1:2">
      <c r="B45" t="s">
        <v>222</v>
      </c>
    </row>
  </sheetData>
  <sheetProtection algorithmName="SHA-512" hashValue="45+FOu4IftXmQXRki7yh3kcc7z2kHZ1XNhB4qcRCO5SuTwkdXY2+gjEhjmqk4oUASgUmb6oPcn/1CKsBRu4k8A==" saltValue="N8n5WCp20OK/eMmb4TDww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E28"/>
  <sheetViews>
    <sheetView workbookViewId="0">
      <selection activeCell="C9" sqref="C9"/>
    </sheetView>
  </sheetViews>
  <sheetFormatPr defaultColWidth="9.109375" defaultRowHeight="13.8"/>
  <cols>
    <col min="1" max="1" width="9.109375" style="6"/>
    <col min="2" max="2" width="73.33203125" style="6" customWidth="1"/>
    <col min="3" max="16384" width="9.109375" style="6"/>
  </cols>
  <sheetData>
    <row r="1" spans="1:5">
      <c r="B1" s="6" t="s">
        <v>0</v>
      </c>
    </row>
    <row r="2" spans="1:5">
      <c r="A2" s="6" t="s">
        <v>1</v>
      </c>
    </row>
    <row r="3" spans="1:5">
      <c r="A3" s="6">
        <v>1</v>
      </c>
      <c r="B3" s="6" t="s">
        <v>2</v>
      </c>
    </row>
    <row r="4" spans="1:5">
      <c r="A4" s="6">
        <v>2</v>
      </c>
      <c r="B4" s="6" t="s">
        <v>3</v>
      </c>
    </row>
    <row r="5" spans="1:5">
      <c r="A5" s="6">
        <v>3</v>
      </c>
      <c r="B5" s="6" t="s">
        <v>4</v>
      </c>
    </row>
    <row r="6" spans="1:5">
      <c r="A6" s="6">
        <v>4</v>
      </c>
      <c r="B6" s="6" t="s">
        <v>5</v>
      </c>
    </row>
    <row r="7" spans="1:5">
      <c r="A7" s="6">
        <v>5</v>
      </c>
      <c r="B7" s="6" t="s">
        <v>6</v>
      </c>
    </row>
    <row r="8" spans="1:5" ht="14.4">
      <c r="A8" s="6">
        <v>6</v>
      </c>
      <c r="B8" s="7" t="s">
        <v>7</v>
      </c>
      <c r="C8" s="8" t="s">
        <v>8</v>
      </c>
      <c r="E8" s="6" t="s">
        <v>9</v>
      </c>
    </row>
    <row r="9" spans="1:5" ht="15.6">
      <c r="A9" s="6">
        <v>7</v>
      </c>
      <c r="B9" s="7" t="s">
        <v>10</v>
      </c>
      <c r="C9" s="8" t="s">
        <v>11</v>
      </c>
      <c r="E9" s="6" t="s">
        <v>9</v>
      </c>
    </row>
    <row r="10" spans="1:5" ht="15.6">
      <c r="A10" s="6">
        <v>8</v>
      </c>
      <c r="B10" s="7" t="s">
        <v>12</v>
      </c>
      <c r="C10" s="8" t="s">
        <v>13</v>
      </c>
      <c r="E10" s="6" t="s">
        <v>9</v>
      </c>
    </row>
    <row r="11" spans="1:5" ht="15.6">
      <c r="A11" s="6">
        <v>9</v>
      </c>
      <c r="B11" s="7" t="s">
        <v>14</v>
      </c>
      <c r="C11" s="8" t="s">
        <v>15</v>
      </c>
      <c r="E11" s="6" t="s">
        <v>16</v>
      </c>
    </row>
    <row r="12" spans="1:5" ht="15.6">
      <c r="A12" s="6">
        <v>10</v>
      </c>
      <c r="B12" s="7" t="s">
        <v>17</v>
      </c>
      <c r="C12" s="9" t="s">
        <v>18</v>
      </c>
      <c r="E12" s="6" t="s">
        <v>16</v>
      </c>
    </row>
    <row r="13" spans="1:5" ht="15.6">
      <c r="A13" s="6">
        <v>11</v>
      </c>
      <c r="B13" s="7" t="s">
        <v>19</v>
      </c>
      <c r="C13" s="8" t="s">
        <v>20</v>
      </c>
      <c r="E13" s="6" t="s">
        <v>16</v>
      </c>
    </row>
    <row r="14" spans="1:5" ht="15.6">
      <c r="A14" s="6">
        <v>12</v>
      </c>
      <c r="B14" s="7" t="s">
        <v>21</v>
      </c>
      <c r="C14" s="8" t="s">
        <v>22</v>
      </c>
      <c r="E14" s="6" t="s">
        <v>9</v>
      </c>
    </row>
    <row r="15" spans="1:5" ht="14.4">
      <c r="A15" s="6">
        <v>13</v>
      </c>
      <c r="B15" s="7" t="s">
        <v>23</v>
      </c>
      <c r="C15" s="8"/>
    </row>
    <row r="16" spans="1:5" ht="14.4">
      <c r="A16" s="6">
        <v>14</v>
      </c>
      <c r="B16" s="7" t="s">
        <v>24</v>
      </c>
      <c r="C16" s="8" t="s">
        <v>25</v>
      </c>
      <c r="E16" s="6" t="s">
        <v>9</v>
      </c>
    </row>
    <row r="17" spans="1:5" ht="14.4">
      <c r="A17" s="6">
        <v>15</v>
      </c>
      <c r="B17" s="7" t="s">
        <v>26</v>
      </c>
      <c r="C17" s="8" t="s">
        <v>27</v>
      </c>
      <c r="E17" s="6" t="s">
        <v>9</v>
      </c>
    </row>
    <row r="18" spans="1:5" ht="15.6">
      <c r="A18" s="6">
        <v>16</v>
      </c>
      <c r="B18" s="7" t="s">
        <v>28</v>
      </c>
      <c r="C18" s="8" t="s">
        <v>29</v>
      </c>
      <c r="E18" s="6" t="s">
        <v>9</v>
      </c>
    </row>
    <row r="19" spans="1:5" ht="15.6">
      <c r="A19" s="6">
        <v>17</v>
      </c>
      <c r="B19" s="7" t="s">
        <v>30</v>
      </c>
      <c r="C19" s="8" t="s">
        <v>31</v>
      </c>
      <c r="E19" s="6" t="s">
        <v>9</v>
      </c>
    </row>
    <row r="20" spans="1:5" ht="15.6">
      <c r="A20" s="6">
        <v>18</v>
      </c>
      <c r="B20" s="7" t="s">
        <v>32</v>
      </c>
      <c r="C20" s="8" t="s">
        <v>33</v>
      </c>
      <c r="E20" s="6" t="s">
        <v>9</v>
      </c>
    </row>
    <row r="21" spans="1:5" ht="14.4">
      <c r="A21" s="6">
        <v>19</v>
      </c>
      <c r="B21" s="7" t="s">
        <v>34</v>
      </c>
      <c r="C21" s="8" t="s">
        <v>35</v>
      </c>
      <c r="E21" s="6" t="s">
        <v>36</v>
      </c>
    </row>
    <row r="22" spans="1:5" ht="14.4">
      <c r="A22" s="6">
        <v>20</v>
      </c>
      <c r="B22" s="7" t="s">
        <v>37</v>
      </c>
      <c r="C22" s="8"/>
    </row>
    <row r="23" spans="1:5" ht="14.4">
      <c r="A23" s="6">
        <v>21</v>
      </c>
      <c r="B23" s="7" t="s">
        <v>38</v>
      </c>
      <c r="C23" s="8"/>
    </row>
    <row r="24" spans="1:5" ht="15.6">
      <c r="A24" s="6">
        <v>22</v>
      </c>
      <c r="B24" s="7" t="s">
        <v>39</v>
      </c>
      <c r="C24" s="8" t="s">
        <v>40</v>
      </c>
      <c r="E24" s="6" t="s">
        <v>41</v>
      </c>
    </row>
    <row r="25" spans="1:5" ht="15.6">
      <c r="A25" s="6">
        <v>23</v>
      </c>
      <c r="B25" s="7" t="s">
        <v>42</v>
      </c>
      <c r="C25" s="8" t="s">
        <v>43</v>
      </c>
      <c r="E25" s="6" t="s">
        <v>16</v>
      </c>
    </row>
    <row r="26" spans="1:5" ht="15.6">
      <c r="A26" s="6">
        <v>24</v>
      </c>
      <c r="B26" s="7" t="s">
        <v>44</v>
      </c>
      <c r="C26" s="8" t="s">
        <v>45</v>
      </c>
      <c r="E26" s="6" t="s">
        <v>41</v>
      </c>
    </row>
    <row r="27" spans="1:5">
      <c r="A27" s="6">
        <v>25</v>
      </c>
      <c r="B27" s="7" t="s">
        <v>46</v>
      </c>
    </row>
    <row r="28" spans="1:5">
      <c r="A28" s="6">
        <v>26</v>
      </c>
      <c r="B28" s="7" t="s">
        <v>47</v>
      </c>
    </row>
  </sheetData>
  <sheetProtection algorithmName="SHA-512" hashValue="I9KaG1JZmt/fhbhrkZjC/JHM7teSvFXoEA5Ih2vBep/BihmufUq9WqT/sz+bXjCoyJfD9WPM3InHPtqirWpeNw==" saltValue="elLC/KC4G7zdT5zZuY2cg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2:B11"/>
  <sheetViews>
    <sheetView topLeftCell="A7" workbookViewId="0">
      <selection activeCell="E130" sqref="E130"/>
    </sheetView>
  </sheetViews>
  <sheetFormatPr defaultRowHeight="14.4"/>
  <cols>
    <col min="1" max="1" width="15.88671875" customWidth="1"/>
    <col min="2" max="2" width="118.88671875" customWidth="1"/>
  </cols>
  <sheetData>
    <row r="2" spans="1:2" ht="43.2">
      <c r="A2" s="77" t="s">
        <v>369</v>
      </c>
      <c r="B2" t="s">
        <v>368</v>
      </c>
    </row>
    <row r="3" spans="1:2">
      <c r="A3" t="s">
        <v>365</v>
      </c>
    </row>
    <row r="4" spans="1:2" ht="105" customHeight="1">
      <c r="A4" s="78" t="s">
        <v>366</v>
      </c>
      <c r="B4" s="77" t="s">
        <v>367</v>
      </c>
    </row>
    <row r="5" spans="1:2" ht="149.25" customHeight="1">
      <c r="A5" s="78" t="s">
        <v>370</v>
      </c>
      <c r="B5" s="77" t="s">
        <v>371</v>
      </c>
    </row>
    <row r="6" spans="1:2" ht="172.8">
      <c r="A6" s="78" t="s">
        <v>372</v>
      </c>
      <c r="B6" s="79" t="s">
        <v>373</v>
      </c>
    </row>
    <row r="7" spans="1:2" ht="144">
      <c r="A7" s="78"/>
      <c r="B7" s="79" t="s">
        <v>374</v>
      </c>
    </row>
    <row r="8" spans="1:2" ht="140.25" customHeight="1">
      <c r="A8" s="78"/>
      <c r="B8" s="79" t="s">
        <v>375</v>
      </c>
    </row>
    <row r="9" spans="1:2" ht="100.8">
      <c r="A9" s="78"/>
      <c r="B9" s="79" t="s">
        <v>376</v>
      </c>
    </row>
    <row r="10" spans="1:2" ht="196.5" customHeight="1">
      <c r="B10" s="79" t="s">
        <v>377</v>
      </c>
    </row>
    <row r="11" spans="1:2">
      <c r="A11" t="s">
        <v>378</v>
      </c>
      <c r="B11" s="79" t="s">
        <v>379</v>
      </c>
    </row>
  </sheetData>
  <sheetProtection algorithmName="SHA-512" hashValue="bfrwL+tRjXhuSBdw00E68U7Srbv47GJr5Wo0AEQ6/EyggOEjIQHFOwv/M2NY1k2Ejycv0i2yh4c07MWk+FcpMQ==" saltValue="qpZHHpNTWOOQz2kD8BN4h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05"/>
  <sheetViews>
    <sheetView zoomScale="85" zoomScaleNormal="85" workbookViewId="0">
      <selection activeCell="D8" sqref="D8"/>
    </sheetView>
  </sheetViews>
  <sheetFormatPr defaultColWidth="0" defaultRowHeight="14.4" zeroHeight="1"/>
  <cols>
    <col min="1" max="1" width="11.109375" customWidth="1"/>
    <col min="2" max="3" width="45.109375" customWidth="1"/>
    <col min="4" max="4" width="37.44140625" customWidth="1"/>
    <col min="5" max="5" width="19.44140625" customWidth="1"/>
    <col min="6" max="6" width="29.88671875" customWidth="1"/>
    <col min="7" max="8" width="9.109375" hidden="1" customWidth="1"/>
    <col min="9" max="9" width="0" hidden="1" customWidth="1"/>
    <col min="10" max="16384" width="9.109375" hidden="1"/>
  </cols>
  <sheetData>
    <row r="1" spans="1:8" ht="21.6" thickBot="1">
      <c r="A1" s="94" t="s">
        <v>512</v>
      </c>
      <c r="B1" s="95"/>
      <c r="C1" s="95"/>
      <c r="D1" s="95" t="str">
        <f>Instructions!B2</f>
        <v>Version 1.9</v>
      </c>
      <c r="E1" s="95"/>
      <c r="F1" s="95"/>
    </row>
    <row r="2" spans="1:8" s="25" customFormat="1" ht="93" thickBot="1">
      <c r="A2" s="97" t="s">
        <v>51</v>
      </c>
      <c r="B2" s="98" t="s">
        <v>52</v>
      </c>
      <c r="C2" s="99" t="s">
        <v>440</v>
      </c>
      <c r="D2" s="100" t="s">
        <v>53</v>
      </c>
      <c r="E2" s="100" t="s">
        <v>225</v>
      </c>
      <c r="F2" s="101" t="s">
        <v>395</v>
      </c>
      <c r="G2" s="96" t="s">
        <v>50</v>
      </c>
    </row>
    <row r="3" spans="1:8" s="25" customFormat="1" ht="119.4" thickBot="1">
      <c r="A3" s="103">
        <v>50</v>
      </c>
      <c r="B3" s="104" t="s">
        <v>426</v>
      </c>
      <c r="C3" s="105" t="s">
        <v>511</v>
      </c>
      <c r="D3" s="85"/>
      <c r="E3" s="106" t="str">
        <f>IF(D3="", "",D3)</f>
        <v/>
      </c>
      <c r="F3" s="107" t="s">
        <v>509</v>
      </c>
      <c r="G3" s="102">
        <v>2</v>
      </c>
    </row>
    <row r="4" spans="1:8" s="25" customFormat="1" ht="106.2" thickBot="1">
      <c r="A4" s="103">
        <v>50</v>
      </c>
      <c r="B4" s="104" t="s">
        <v>425</v>
      </c>
      <c r="C4" s="105" t="s">
        <v>510</v>
      </c>
      <c r="D4" s="85"/>
      <c r="E4" s="106" t="str">
        <f>IF(D4="", "",D4)</f>
        <v/>
      </c>
      <c r="F4" s="107" t="s">
        <v>509</v>
      </c>
      <c r="G4" s="102">
        <v>1</v>
      </c>
    </row>
    <row r="5" spans="1:8" s="25" customFormat="1" ht="13.8" thickBot="1">
      <c r="A5" s="103" t="s">
        <v>439</v>
      </c>
      <c r="B5" s="104" t="s">
        <v>427</v>
      </c>
      <c r="C5" s="109"/>
      <c r="D5" s="110"/>
      <c r="E5" s="111"/>
      <c r="F5" s="108"/>
      <c r="G5" s="102">
        <v>3</v>
      </c>
    </row>
    <row r="6" spans="1:8" s="25" customFormat="1" ht="27.75" customHeight="1" thickBot="1">
      <c r="A6" s="103">
        <v>60</v>
      </c>
      <c r="B6" s="112" t="s">
        <v>454</v>
      </c>
      <c r="C6" s="105" t="s">
        <v>437</v>
      </c>
      <c r="D6" s="85"/>
      <c r="E6" s="106" t="str">
        <f>IF(D6="", "",D6)</f>
        <v/>
      </c>
      <c r="F6" s="108" t="s">
        <v>666</v>
      </c>
      <c r="G6" s="102"/>
      <c r="H6"/>
    </row>
    <row r="7" spans="1:8" s="25" customFormat="1" ht="27.75" customHeight="1" thickBot="1">
      <c r="A7" s="103">
        <v>60</v>
      </c>
      <c r="B7" s="112" t="s">
        <v>428</v>
      </c>
      <c r="C7" s="105" t="s">
        <v>490</v>
      </c>
      <c r="D7" s="182"/>
      <c r="E7" s="106" t="str">
        <f>IF(D7="", "",D7)</f>
        <v/>
      </c>
      <c r="F7" s="108" t="s">
        <v>666</v>
      </c>
      <c r="G7" s="102"/>
      <c r="H7"/>
    </row>
    <row r="8" spans="1:8" s="25" customFormat="1" ht="27.75" customHeight="1" thickBot="1">
      <c r="A8" s="103">
        <v>100</v>
      </c>
      <c r="B8" s="104" t="s">
        <v>455</v>
      </c>
      <c r="C8" s="105"/>
      <c r="D8" s="182"/>
      <c r="E8" s="106" t="str">
        <f>IF(D8="", "",D8)</f>
        <v/>
      </c>
      <c r="F8" s="108" t="s">
        <v>666</v>
      </c>
      <c r="G8" s="114"/>
      <c r="H8"/>
    </row>
    <row r="9" spans="1:8" s="25" customFormat="1" ht="27" thickBot="1">
      <c r="A9" s="103">
        <v>35</v>
      </c>
      <c r="B9" s="112" t="s">
        <v>429</v>
      </c>
      <c r="C9" s="105" t="s">
        <v>491</v>
      </c>
      <c r="D9" s="182"/>
      <c r="E9" s="106" t="str">
        <f t="shared" ref="E9:E15" si="0">IF(D9="", "",D9)</f>
        <v/>
      </c>
      <c r="F9" s="108" t="s">
        <v>666</v>
      </c>
      <c r="G9" s="114"/>
      <c r="H9"/>
    </row>
    <row r="10" spans="1:8" s="25" customFormat="1" ht="27" thickBot="1">
      <c r="A10" s="103">
        <v>30</v>
      </c>
      <c r="B10" s="104" t="s">
        <v>430</v>
      </c>
      <c r="C10" s="105"/>
      <c r="D10" s="182"/>
      <c r="E10" s="106" t="str">
        <f t="shared" si="0"/>
        <v/>
      </c>
      <c r="F10" s="108" t="s">
        <v>666</v>
      </c>
      <c r="G10" s="114"/>
      <c r="H10"/>
    </row>
    <row r="11" spans="1:8" s="25" customFormat="1" ht="27" thickBot="1">
      <c r="A11" s="103">
        <v>30</v>
      </c>
      <c r="B11" s="112" t="s">
        <v>431</v>
      </c>
      <c r="C11" s="105" t="s">
        <v>438</v>
      </c>
      <c r="D11" s="182"/>
      <c r="E11" s="106" t="str">
        <f t="shared" si="0"/>
        <v/>
      </c>
      <c r="F11" s="108" t="s">
        <v>666</v>
      </c>
      <c r="G11" s="114"/>
      <c r="H11"/>
    </row>
    <row r="12" spans="1:8" s="25" customFormat="1" ht="27" thickBot="1">
      <c r="A12" s="103">
        <v>20</v>
      </c>
      <c r="B12" s="104" t="s">
        <v>432</v>
      </c>
      <c r="C12" s="105"/>
      <c r="D12" s="182"/>
      <c r="E12" s="106" t="str">
        <f t="shared" si="0"/>
        <v/>
      </c>
      <c r="F12" s="108" t="s">
        <v>666</v>
      </c>
      <c r="G12" s="114"/>
      <c r="H12"/>
    </row>
    <row r="13" spans="1:8" s="25" customFormat="1" ht="27" thickBot="1">
      <c r="A13" s="103">
        <v>30</v>
      </c>
      <c r="B13" s="104" t="s">
        <v>433</v>
      </c>
      <c r="C13" s="105" t="s">
        <v>434</v>
      </c>
      <c r="D13" s="182"/>
      <c r="E13" s="106" t="str">
        <f t="shared" si="0"/>
        <v/>
      </c>
      <c r="F13" s="108" t="s">
        <v>666</v>
      </c>
      <c r="G13" s="114"/>
      <c r="H13"/>
    </row>
    <row r="14" spans="1:8" s="25" customFormat="1" ht="15" thickBot="1">
      <c r="A14" s="103">
        <v>25</v>
      </c>
      <c r="B14" s="112" t="s">
        <v>435</v>
      </c>
      <c r="C14" s="105"/>
      <c r="D14" s="182"/>
      <c r="E14" s="106" t="str">
        <f t="shared" si="0"/>
        <v/>
      </c>
      <c r="F14" s="82" t="s">
        <v>396</v>
      </c>
      <c r="G14" s="114">
        <v>4</v>
      </c>
      <c r="H14"/>
    </row>
    <row r="15" spans="1:8" s="25" customFormat="1" ht="15" thickBot="1">
      <c r="A15" s="103">
        <v>75</v>
      </c>
      <c r="B15" s="112" t="s">
        <v>436</v>
      </c>
      <c r="C15" s="105"/>
      <c r="D15" s="182"/>
      <c r="E15" s="106" t="str">
        <f t="shared" si="0"/>
        <v/>
      </c>
      <c r="F15" s="82" t="s">
        <v>396</v>
      </c>
      <c r="G15" s="114">
        <v>5</v>
      </c>
      <c r="H15"/>
    </row>
    <row r="16" spans="1: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sheetData>
  <sheetProtection algorithmName="SHA-512" hashValue="wWdf6EdcH6jJC+GES5jHi+cZNoKcZADIgGSVYuhFQCJO2gI4j3DulHFXPmZyfm6/aKQf7SicXKgkmK1j89z7aw==" saltValue="/LwW6NfYqIn4UDdrBhBuFA==" spinCount="100000" sheet="1" objects="1" scenarios="1" selectLockedCell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textLength" operator="lessThan" allowBlank="1" showInputMessage="1" showErrorMessage="1" xr:uid="{00000000-0002-0000-0100-000000000000}">
          <x14:formula1>
            <xm:f>Lists!B8</xm:f>
          </x14:formula1>
          <xm:sqref>D5</xm:sqref>
        </x14:dataValidation>
        <x14:dataValidation type="textLength" operator="lessThan" allowBlank="1" showInputMessage="1" showErrorMessage="1" xr:uid="{00000000-0002-0000-0100-000001000000}">
          <x14:formula1>
            <xm:f>Lists!B6</xm:f>
          </x14:formula1>
          <xm:sqref>D4</xm:sqref>
        </x14:dataValidation>
        <x14:dataValidation type="textLength" operator="lessThan" allowBlank="1" showInputMessage="1" showErrorMessage="1" xr:uid="{00000000-0002-0000-0100-000002000000}">
          <x14:formula1>
            <xm:f>Lists!B7</xm:f>
          </x14:formula1>
          <xm:sqref>D3</xm:sqref>
        </x14:dataValidation>
        <x14:dataValidation type="textLength" operator="lessThan" allowBlank="1" showInputMessage="1" showErrorMessage="1" xr:uid="{00000000-0002-0000-0100-000003000000}">
          <x14:formula1>
            <xm:f>Lists!B15</xm:f>
          </x14:formula1>
          <xm:sqref>D6:D15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117"/>
  <sheetViews>
    <sheetView showGridLines="0" zoomScale="90" zoomScaleNormal="90" workbookViewId="0">
      <selection activeCell="O1" sqref="O1"/>
    </sheetView>
  </sheetViews>
  <sheetFormatPr defaultColWidth="0" defaultRowHeight="13.2" zeroHeight="1"/>
  <cols>
    <col min="1" max="1" width="11.109375" style="25" customWidth="1"/>
    <col min="2" max="3" width="45.109375" style="25" customWidth="1"/>
    <col min="4" max="4" width="37.44140625" style="25" customWidth="1"/>
    <col min="5" max="5" width="15" style="25" customWidth="1"/>
    <col min="6" max="6" width="29.88671875" style="25" customWidth="1"/>
    <col min="7" max="7" width="9.109375" style="207" hidden="1" customWidth="1"/>
    <col min="8" max="15" width="9.109375" style="25" customWidth="1"/>
    <col min="16" max="16384" width="9.109375" style="25" hidden="1"/>
  </cols>
  <sheetData>
    <row r="1" spans="1:15" customFormat="1" ht="21.6" thickBot="1">
      <c r="A1" s="94" t="s">
        <v>534</v>
      </c>
      <c r="B1" s="95"/>
      <c r="C1" s="95"/>
      <c r="D1" s="95" t="str">
        <f>Instructions!B2</f>
        <v>Version 1.9</v>
      </c>
      <c r="E1" s="95"/>
      <c r="F1" s="95"/>
      <c r="G1" s="25"/>
      <c r="O1" s="293"/>
    </row>
    <row r="2" spans="1:15" ht="92.4">
      <c r="A2" s="97" t="s">
        <v>51</v>
      </c>
      <c r="B2" s="98" t="s">
        <v>52</v>
      </c>
      <c r="C2" s="99" t="s">
        <v>440</v>
      </c>
      <c r="D2" s="100" t="s">
        <v>53</v>
      </c>
      <c r="E2" s="100" t="s">
        <v>225</v>
      </c>
      <c r="F2" s="101" t="s">
        <v>395</v>
      </c>
      <c r="G2" s="96" t="s">
        <v>50</v>
      </c>
    </row>
    <row r="3" spans="1:15" ht="27.75" customHeight="1" thickBot="1">
      <c r="A3" s="117"/>
      <c r="B3" s="118" t="s">
        <v>294</v>
      </c>
      <c r="C3" s="119"/>
      <c r="D3" s="120"/>
      <c r="E3" s="121"/>
      <c r="F3" s="122"/>
      <c r="G3" s="116"/>
    </row>
    <row r="4" spans="1:15" ht="27" thickBot="1">
      <c r="A4" s="103">
        <v>50</v>
      </c>
      <c r="B4" s="112" t="s">
        <v>56</v>
      </c>
      <c r="C4" s="105" t="s">
        <v>57</v>
      </c>
      <c r="D4" s="164"/>
      <c r="E4" s="106" t="str">
        <f>IF(D4="", "",D4)</f>
        <v/>
      </c>
      <c r="F4" s="108" t="s">
        <v>666</v>
      </c>
      <c r="G4" s="102">
        <v>6</v>
      </c>
    </row>
    <row r="5" spans="1:15" ht="123.75" customHeight="1" thickBot="1">
      <c r="A5" s="103">
        <v>50</v>
      </c>
      <c r="B5" s="112" t="s">
        <v>59</v>
      </c>
      <c r="C5" s="105" t="s">
        <v>513</v>
      </c>
      <c r="D5" s="164"/>
      <c r="E5" s="106" t="str">
        <f>IF(D5="", "",D5)</f>
        <v/>
      </c>
      <c r="F5" s="108" t="s">
        <v>666</v>
      </c>
      <c r="G5" s="102">
        <v>7</v>
      </c>
    </row>
    <row r="6" spans="1:15" ht="53.4" thickBot="1">
      <c r="A6" s="103">
        <v>30</v>
      </c>
      <c r="B6" s="112" t="s">
        <v>651</v>
      </c>
      <c r="C6" s="105" t="s">
        <v>514</v>
      </c>
      <c r="D6" s="164"/>
      <c r="E6" s="106" t="str">
        <f>IF(D6="", "",D6)</f>
        <v/>
      </c>
      <c r="F6" s="108" t="s">
        <v>666</v>
      </c>
      <c r="G6" s="114">
        <v>8</v>
      </c>
    </row>
    <row r="7" spans="1:15" ht="119.4" thickBot="1">
      <c r="A7" s="103">
        <v>40</v>
      </c>
      <c r="B7" s="112" t="s">
        <v>61</v>
      </c>
      <c r="C7" s="105" t="s">
        <v>499</v>
      </c>
      <c r="D7" s="164"/>
      <c r="E7" s="106" t="str">
        <f>IF(D7="", "",D7)</f>
        <v/>
      </c>
      <c r="F7" s="113" t="s">
        <v>396</v>
      </c>
      <c r="G7" s="114">
        <v>9</v>
      </c>
    </row>
    <row r="8" spans="1:15" ht="27.75" customHeight="1" thickBot="1">
      <c r="A8" s="124"/>
      <c r="B8" s="125" t="s">
        <v>295</v>
      </c>
      <c r="C8" s="126"/>
      <c r="D8" s="165"/>
      <c r="E8" s="127"/>
      <c r="F8" s="115"/>
      <c r="G8" s="123"/>
    </row>
    <row r="9" spans="1:15" ht="27.75" customHeight="1" thickBot="1">
      <c r="A9" s="124">
        <v>4</v>
      </c>
      <c r="B9" s="128" t="s">
        <v>62</v>
      </c>
      <c r="C9" s="126" t="s">
        <v>206</v>
      </c>
      <c r="D9" s="164" t="s">
        <v>223</v>
      </c>
      <c r="E9" s="106" t="str">
        <f>IF(D9=Years!A2,"",D9)</f>
        <v/>
      </c>
      <c r="F9" s="115" t="s">
        <v>397</v>
      </c>
      <c r="G9" s="123">
        <v>10</v>
      </c>
    </row>
    <row r="10" spans="1:15" ht="79.8" thickBot="1">
      <c r="A10" s="124">
        <v>8</v>
      </c>
      <c r="B10" s="128" t="s">
        <v>64</v>
      </c>
      <c r="C10" s="126" t="s">
        <v>207</v>
      </c>
      <c r="D10" s="164" t="s">
        <v>223</v>
      </c>
      <c r="E10" s="106" t="str">
        <f>IF(D10=Years!B2,"",D10)</f>
        <v/>
      </c>
      <c r="F10" s="115" t="s">
        <v>397</v>
      </c>
      <c r="G10" s="129">
        <v>11</v>
      </c>
    </row>
    <row r="11" spans="1:15" ht="27.75" customHeight="1" thickBot="1">
      <c r="A11" s="103"/>
      <c r="B11" s="118" t="s">
        <v>296</v>
      </c>
      <c r="C11" s="105"/>
      <c r="D11" s="166"/>
      <c r="E11" s="130"/>
      <c r="F11" s="113"/>
      <c r="G11" s="102"/>
    </row>
    <row r="12" spans="1:15" ht="40.200000000000003" thickBot="1">
      <c r="A12" s="103">
        <v>1</v>
      </c>
      <c r="B12" s="112" t="s">
        <v>66</v>
      </c>
      <c r="C12" s="105" t="s">
        <v>67</v>
      </c>
      <c r="D12" s="164" t="s">
        <v>208</v>
      </c>
      <c r="E12" s="106" t="str">
        <f>IF(ISERROR(VLOOKUP(D12,Fuel_Lookup,2,FALSE)),"",VLOOKUP(D12,Fuel_Lookup,2,FALSE))</f>
        <v/>
      </c>
      <c r="F12" s="113" t="s">
        <v>397</v>
      </c>
      <c r="G12" s="102">
        <v>12</v>
      </c>
    </row>
    <row r="13" spans="1:15" ht="18" customHeight="1" thickBot="1">
      <c r="A13" s="103">
        <v>1</v>
      </c>
      <c r="B13" s="112" t="s">
        <v>69</v>
      </c>
      <c r="C13" s="105"/>
      <c r="D13" s="164" t="s">
        <v>388</v>
      </c>
      <c r="E13" s="106" t="str">
        <f>IF(ISERROR(VLOOKUP(D13,Position_Lookup,2,FALSE)),"",VLOOKUP(D13,Position_Lookup,2,FALSE))</f>
        <v/>
      </c>
      <c r="F13" s="113" t="s">
        <v>397</v>
      </c>
      <c r="G13" s="114">
        <v>13</v>
      </c>
    </row>
    <row r="14" spans="1:15" ht="18" customHeight="1" thickBot="1">
      <c r="A14" s="103">
        <v>1</v>
      </c>
      <c r="B14" s="112" t="s">
        <v>75</v>
      </c>
      <c r="C14" s="105"/>
      <c r="D14" s="164" t="s">
        <v>217</v>
      </c>
      <c r="E14" s="106" t="str">
        <f>IF(ISERROR(VLOOKUP(D14,Rating_Lookup,2,FALSE)),"",VLOOKUP(D14,Rating_Lookup,2,FALSE))</f>
        <v/>
      </c>
      <c r="F14" s="113" t="s">
        <v>397</v>
      </c>
      <c r="G14" s="114">
        <v>14</v>
      </c>
    </row>
    <row r="15" spans="1:15" ht="18" customHeight="1" thickBot="1">
      <c r="A15" s="103">
        <v>1</v>
      </c>
      <c r="B15" s="112" t="s">
        <v>77</v>
      </c>
      <c r="C15" s="105"/>
      <c r="D15" s="164" t="s">
        <v>210</v>
      </c>
      <c r="E15" s="106" t="str">
        <f>IF(ISERROR(VLOOKUP(D15,Main_Type_Lookup,2,FALSE)),"",VLOOKUP(D15,Main_Type_Lookup,2,FALSE))</f>
        <v/>
      </c>
      <c r="F15" s="113" t="s">
        <v>397</v>
      </c>
      <c r="G15" s="102">
        <v>15</v>
      </c>
    </row>
    <row r="16" spans="1:15" ht="18" customHeight="1" thickBot="1">
      <c r="A16" s="103">
        <v>1</v>
      </c>
      <c r="B16" s="112" t="s">
        <v>110</v>
      </c>
      <c r="C16" s="105"/>
      <c r="D16" s="164" t="s">
        <v>237</v>
      </c>
      <c r="E16" s="106" t="str">
        <f>IF(ISERROR(VLOOKUP(D16,PFGHRD_Lookup,2,FALSE)),"",VLOOKUP(D16,PFGHRD_Lookup,2,FALSE))</f>
        <v/>
      </c>
      <c r="F16" s="113" t="s">
        <v>397</v>
      </c>
      <c r="G16" s="114">
        <v>23</v>
      </c>
    </row>
    <row r="17" spans="1:7" ht="18" customHeight="1" thickBot="1">
      <c r="A17" s="103">
        <v>1</v>
      </c>
      <c r="B17" s="112" t="s">
        <v>82</v>
      </c>
      <c r="C17" s="105"/>
      <c r="D17" s="164" t="s">
        <v>211</v>
      </c>
      <c r="E17" s="106" t="str">
        <f>IF(ISERROR(VLOOKUP(D17,Condensing_Lookup,2,FALSE)),"",VLOOKUP(D17,Condensing_Lookup,2,FALSE))</f>
        <v/>
      </c>
      <c r="F17" s="113" t="s">
        <v>397</v>
      </c>
      <c r="G17" s="102">
        <v>16</v>
      </c>
    </row>
    <row r="18" spans="1:7" ht="18" customHeight="1" thickBot="1">
      <c r="A18" s="103">
        <v>1</v>
      </c>
      <c r="B18" s="112" t="s">
        <v>87</v>
      </c>
      <c r="C18" s="105"/>
      <c r="D18" s="164" t="s">
        <v>210</v>
      </c>
      <c r="E18" s="106" t="str">
        <f>IF(ISERROR(VLOOKUP(D18,Flue_Type_Lookup,2,FALSE)),"",VLOOKUP(D18,Flue_Type_Lookup,2,FALSE))</f>
        <v/>
      </c>
      <c r="F18" s="113" t="s">
        <v>397</v>
      </c>
      <c r="G18" s="102">
        <v>17</v>
      </c>
    </row>
    <row r="19" spans="1:7" ht="27" thickBot="1">
      <c r="A19" s="103">
        <v>1</v>
      </c>
      <c r="B19" s="112" t="s">
        <v>92</v>
      </c>
      <c r="C19" s="131" t="s">
        <v>93</v>
      </c>
      <c r="D19" s="164" t="s">
        <v>215</v>
      </c>
      <c r="E19" s="106" t="str">
        <f>IF(ISERROR(VLOOKUP(D19,Fan_Lookup,2,FALSE)),"",VLOOKUP(D19,Fan_Lookup,2,FALSE))</f>
        <v/>
      </c>
      <c r="F19" s="113" t="s">
        <v>397</v>
      </c>
      <c r="G19" s="102">
        <v>18</v>
      </c>
    </row>
    <row r="20" spans="1:7" ht="27.75" customHeight="1" thickBot="1">
      <c r="A20" s="103">
        <v>1</v>
      </c>
      <c r="B20" s="112" t="s">
        <v>97</v>
      </c>
      <c r="C20" s="131" t="s">
        <v>98</v>
      </c>
      <c r="D20" s="164" t="s">
        <v>224</v>
      </c>
      <c r="E20" s="106" t="str">
        <f>IF(ISERROR(VLOOKUP(D20,Pilot_Lookup,2,FALSE)),"",VLOOKUP(D20,Pilot_Lookup,2,FALSE))</f>
        <v/>
      </c>
      <c r="F20" s="113" t="s">
        <v>397</v>
      </c>
      <c r="G20" s="102">
        <v>19</v>
      </c>
    </row>
    <row r="21" spans="1:7" ht="40.200000000000003" thickBot="1">
      <c r="A21" s="103">
        <v>1</v>
      </c>
      <c r="B21" s="112" t="s">
        <v>102</v>
      </c>
      <c r="C21" s="131" t="s">
        <v>103</v>
      </c>
      <c r="D21" s="164" t="s">
        <v>231</v>
      </c>
      <c r="E21" s="106" t="str">
        <f>IF(ISERROR(VLOOKUP(D21,Burner_Type_Lookup,2,FALSE)),"",VLOOKUP(D21,Burner_Type_Lookup,2,FALSE))</f>
        <v/>
      </c>
      <c r="F21" s="113" t="s">
        <v>397</v>
      </c>
      <c r="G21" s="102">
        <v>20</v>
      </c>
    </row>
    <row r="22" spans="1:7" ht="39.6">
      <c r="A22" s="103"/>
      <c r="B22" s="112" t="s">
        <v>578</v>
      </c>
      <c r="C22" s="200" t="s">
        <v>488</v>
      </c>
      <c r="D22" s="178"/>
      <c r="E22" s="111"/>
      <c r="F22" s="113" t="s">
        <v>397</v>
      </c>
      <c r="G22" s="102"/>
    </row>
    <row r="23" spans="1:7" ht="26.4" hidden="1">
      <c r="A23" s="103"/>
      <c r="B23" s="104" t="s">
        <v>487</v>
      </c>
      <c r="C23" s="203"/>
      <c r="D23" s="210"/>
      <c r="E23" s="111"/>
      <c r="F23" s="147"/>
      <c r="G23" s="102"/>
    </row>
    <row r="24" spans="1:7" ht="29.25" hidden="1" customHeight="1" thickBot="1">
      <c r="A24" s="103">
        <v>6</v>
      </c>
      <c r="B24" s="112" t="s">
        <v>576</v>
      </c>
      <c r="C24" s="201" t="str">
        <f>IF(D$22="YES","Provide the index number(s) assigned to the compensating controller(s) in the PCDB.","Do NOT complete")</f>
        <v>Do NOT complete</v>
      </c>
      <c r="D24" s="202"/>
      <c r="E24" s="111"/>
      <c r="F24" s="294" t="s">
        <v>489</v>
      </c>
      <c r="G24" s="102"/>
    </row>
    <row r="25" spans="1:7" ht="29.25" hidden="1" customHeight="1" thickBot="1">
      <c r="A25" s="103"/>
      <c r="B25" s="112" t="s">
        <v>573</v>
      </c>
      <c r="C25" s="131" t="str">
        <f>IF(D$22="YES","Provide brand name(s) of the compensating boiler controller(s) as it appears in the PCDB entry","Do NOT complete")</f>
        <v>Do NOT complete</v>
      </c>
      <c r="D25" s="164"/>
      <c r="E25" s="111"/>
      <c r="F25" s="294" t="s">
        <v>489</v>
      </c>
      <c r="G25" s="102"/>
    </row>
    <row r="26" spans="1:7" ht="29.25" hidden="1" customHeight="1" thickBot="1">
      <c r="A26" s="103"/>
      <c r="B26" s="112" t="s">
        <v>574</v>
      </c>
      <c r="C26" s="131" t="str">
        <f>IF(D$22="YES","Provide the model name(s) of the compensating boiler controller(s) as it appears in the PCDB entry","Do NOT complete")</f>
        <v>Do NOT complete</v>
      </c>
      <c r="D26" s="164"/>
      <c r="E26" s="111"/>
      <c r="F26" s="294" t="s">
        <v>489</v>
      </c>
      <c r="G26" s="102"/>
    </row>
    <row r="27" spans="1:7" ht="29.25" hidden="1" customHeight="1">
      <c r="A27" s="103"/>
      <c r="B27" s="236" t="s">
        <v>575</v>
      </c>
      <c r="C27" s="200" t="str">
        <f>IF(D$22="YES","Provide the model qualifier(s) of the compensating boiler controller(s) as it appears in the PCDB entry","Do NOT complete")</f>
        <v>Do NOT complete</v>
      </c>
      <c r="D27" s="178"/>
      <c r="E27" s="111"/>
      <c r="F27" s="294" t="s">
        <v>489</v>
      </c>
      <c r="G27" s="102"/>
    </row>
    <row r="28" spans="1:7" ht="29.25" customHeight="1">
      <c r="A28" s="103"/>
      <c r="B28" s="297" t="str">
        <f>IF(D$22="YES","DON'T FORGET TO COMPLETE COMPENSATING CONTROL COMPATIBILITY WORKSHEET","")</f>
        <v/>
      </c>
      <c r="C28" s="298"/>
      <c r="D28" s="299"/>
      <c r="E28" s="288" t="str">
        <f>'HEX CODE GENERATOR'!B3</f>
        <v>0004</v>
      </c>
      <c r="F28" s="199"/>
      <c r="G28" s="102"/>
    </row>
    <row r="29" spans="1:7" s="76" customFormat="1" ht="27.75" customHeight="1" thickBot="1">
      <c r="A29" s="124"/>
      <c r="B29" s="132" t="s">
        <v>389</v>
      </c>
      <c r="C29" s="237"/>
      <c r="D29" s="165"/>
      <c r="E29" s="127"/>
      <c r="F29" s="115"/>
      <c r="G29" s="129"/>
    </row>
    <row r="30" spans="1:7" s="76" customFormat="1" ht="40.200000000000003" thickBot="1">
      <c r="A30" s="124"/>
      <c r="B30" s="128" t="s">
        <v>533</v>
      </c>
      <c r="C30" s="134" t="s">
        <v>661</v>
      </c>
      <c r="D30" s="183"/>
      <c r="E30" s="135" t="str">
        <f>IF(D30="","",D30)</f>
        <v/>
      </c>
      <c r="F30" s="136" t="s">
        <v>398</v>
      </c>
      <c r="G30" s="123" t="s">
        <v>297</v>
      </c>
    </row>
    <row r="31" spans="1:7" s="76" customFormat="1" ht="40.200000000000003" thickBot="1">
      <c r="A31" s="124"/>
      <c r="B31" s="128" t="s">
        <v>532</v>
      </c>
      <c r="C31" s="134" t="s">
        <v>661</v>
      </c>
      <c r="D31" s="183"/>
      <c r="E31" s="135" t="str">
        <f>IF(D31="","",D31)</f>
        <v/>
      </c>
      <c r="F31" s="136" t="s">
        <v>398</v>
      </c>
      <c r="G31" s="123" t="s">
        <v>298</v>
      </c>
    </row>
    <row r="32" spans="1:7" s="76" customFormat="1" ht="60" customHeight="1" thickBot="1">
      <c r="A32" s="124"/>
      <c r="B32" s="128" t="s">
        <v>292</v>
      </c>
      <c r="C32" s="134" t="s">
        <v>662</v>
      </c>
      <c r="D32" s="183"/>
      <c r="E32" s="135" t="str">
        <f>IF(D32="","",D32)</f>
        <v/>
      </c>
      <c r="F32" s="136" t="s">
        <v>398</v>
      </c>
      <c r="G32" s="123" t="s">
        <v>299</v>
      </c>
    </row>
    <row r="33" spans="1:7" ht="27.75" customHeight="1" thickBot="1">
      <c r="A33" s="103"/>
      <c r="B33" s="137" t="s">
        <v>363</v>
      </c>
      <c r="C33" s="112"/>
      <c r="D33" s="167"/>
      <c r="E33" s="138"/>
      <c r="F33" s="139"/>
      <c r="G33" s="114"/>
    </row>
    <row r="34" spans="1:7" ht="106.2" thickBot="1">
      <c r="A34" s="103"/>
      <c r="B34" s="130" t="s">
        <v>420</v>
      </c>
      <c r="C34" s="105" t="s">
        <v>421</v>
      </c>
      <c r="D34" s="168" t="s">
        <v>224</v>
      </c>
      <c r="E34" s="163"/>
      <c r="F34" s="139"/>
      <c r="G34" s="114"/>
    </row>
    <row r="35" spans="1:7" ht="66.599999999999994" thickBot="1">
      <c r="A35" s="103">
        <v>7</v>
      </c>
      <c r="B35" s="112" t="s">
        <v>112</v>
      </c>
      <c r="C35" s="105" t="str">
        <f>IF(OR(D34&lt;&gt;"YES",D21="Variable"),"This is NOT a range rated boiler, it has a single nominal rated output, and may be able to vary its output whilst firing so the the nominal output power (to water) of the boiler in kW must be entered.","This is a range rated boiler and so the the minimum power in kW of the output range declared by the manufacturer must be entered.")</f>
        <v>This is NOT a range rated boiler, it has a single nominal rated output, and may be able to vary its output whilst firing so the the nominal output power (to water) of the boiler in kW must be entered.</v>
      </c>
      <c r="D35" s="168"/>
      <c r="E35" s="135" t="str">
        <f>IF(D35="","",D35)</f>
        <v/>
      </c>
      <c r="F35" s="140" t="s">
        <v>423</v>
      </c>
      <c r="G35" s="102">
        <v>24</v>
      </c>
    </row>
    <row r="36" spans="1:7" ht="66.599999999999994" thickBot="1">
      <c r="A36" s="103">
        <v>7</v>
      </c>
      <c r="B36" s="112" t="s">
        <v>114</v>
      </c>
      <c r="C36" s="105" t="str">
        <f>IF(D34&lt;&gt;"YES","This is NOT a range rated boiler so the same value MUST be entered as that entered for the Boiler Power (bottom of range), above","This is a range rated boiler so the maximum power in kW of the output range declared by the manufacturer must be entered.")</f>
        <v>This is NOT a range rated boiler so the same value MUST be entered as that entered for the Boiler Power (bottom of range), above</v>
      </c>
      <c r="D36" s="168"/>
      <c r="E36" s="135" t="str">
        <f>IF(D36="","",D36)</f>
        <v/>
      </c>
      <c r="F36" s="140" t="s">
        <v>423</v>
      </c>
      <c r="G36" s="102">
        <v>25</v>
      </c>
    </row>
    <row r="37" spans="1:7" ht="27.75" customHeight="1">
      <c r="A37" s="124"/>
      <c r="B37" s="141" t="s">
        <v>380</v>
      </c>
      <c r="C37" s="126"/>
      <c r="D37" s="209"/>
      <c r="E37" s="142"/>
      <c r="F37" s="136"/>
      <c r="G37" s="129"/>
    </row>
    <row r="38" spans="1:7" ht="171.6">
      <c r="A38" s="124"/>
      <c r="B38" s="128" t="s">
        <v>544</v>
      </c>
      <c r="C38" s="109"/>
      <c r="D38" s="169"/>
      <c r="E38" s="163"/>
      <c r="F38" s="143" t="s">
        <v>531</v>
      </c>
      <c r="G38" s="123"/>
    </row>
    <row r="39" spans="1:7" ht="27" thickBot="1">
      <c r="A39" s="124"/>
      <c r="B39" s="128" t="s">
        <v>381</v>
      </c>
      <c r="C39" s="126"/>
      <c r="D39" s="170" t="s">
        <v>386</v>
      </c>
      <c r="E39" s="163"/>
      <c r="F39" s="136" t="s">
        <v>422</v>
      </c>
      <c r="G39" s="123"/>
    </row>
    <row r="40" spans="1:7" ht="132.6" thickBot="1">
      <c r="A40" s="124" t="s">
        <v>116</v>
      </c>
      <c r="B40" s="128" t="s">
        <v>117</v>
      </c>
      <c r="C40" s="126" t="s">
        <v>239</v>
      </c>
      <c r="D40" s="197"/>
      <c r="E40" s="135" t="str">
        <f>IF(ISERROR(ROUND(IF(D40&lt;&gt;"",IF(D$39=Lists!F$79,'Submission Form'!D40/VLOOKUP('Submission Form'!D$12,Fuel_Lookup,3)*100*'Submission Form'!D40,100*'Submission Form'!D40),""),1)),"",ROUND(IF(D40&lt;&gt;"",IF(D$39=Lists!F$79,100*'Submission Form'!D40/VLOOKUP('Submission Form'!D$12,Fuel_Lookup,3),100*'Submission Form'!D40),""),1))</f>
        <v/>
      </c>
      <c r="F40" s="143" t="s">
        <v>531</v>
      </c>
      <c r="G40" s="129">
        <v>26</v>
      </c>
    </row>
    <row r="41" spans="1:7" ht="132.6" thickBot="1">
      <c r="A41" s="124" t="s">
        <v>116</v>
      </c>
      <c r="B41" s="128" t="s">
        <v>119</v>
      </c>
      <c r="C41" s="126" t="s">
        <v>282</v>
      </c>
      <c r="D41" s="197"/>
      <c r="E41" s="135" t="str">
        <f>IF(ISERROR(ROUND(IF(D41&lt;&gt;"",IF(D$39=Lists!F$79,'Submission Form'!D41/VLOOKUP('Submission Form'!D$12,Fuel_Lookup,3)*100*'Submission Form'!D41,100*'Submission Form'!D41),""),1)),"",ROUND(IF(D41&lt;&gt;"",IF(D$39=Lists!F$79,100*'Submission Form'!D41/VLOOKUP('Submission Form'!D$12,Fuel_Lookup,3),100*'Submission Form'!D41),""),1))</f>
        <v/>
      </c>
      <c r="F41" s="143" t="s">
        <v>531</v>
      </c>
      <c r="G41" s="129">
        <v>27</v>
      </c>
    </row>
    <row r="42" spans="1:7" ht="54" customHeight="1" thickBot="1">
      <c r="A42" s="210"/>
      <c r="B42" s="283"/>
      <c r="C42" s="109"/>
      <c r="D42" s="282" t="str">
        <f>IF(AND(OR(D12=Lists!E12,D12=Lists!E13),'Submission Form'!D17=Lists!E51),IF('Submission Form'!D40&gt;'Submission Form'!D41,"WARNING: Full Load efficiency &gt; Part Load efficiency - CHECK DATA",""),"")</f>
        <v/>
      </c>
      <c r="E42" s="163"/>
      <c r="F42" s="280"/>
      <c r="G42" s="129"/>
    </row>
    <row r="43" spans="1:7" ht="27" thickBot="1">
      <c r="A43" s="124">
        <v>1</v>
      </c>
      <c r="B43" s="128" t="s">
        <v>288</v>
      </c>
      <c r="C43" s="126" t="str">
        <f>IF(D12=Lists!E13,"The boiler is an LPG appliance so this entry must be completed","The boiler is NOT an LPG appliance so 'Not applicable' must be selected")</f>
        <v>The boiler is NOT an LPG appliance so 'Not applicable' must be selected</v>
      </c>
      <c r="D43" s="164" t="s">
        <v>224</v>
      </c>
      <c r="E43" s="106" t="str">
        <f>IF(ISERROR(VLOOKUP(D43,LPG_Test_Lookup,2,FALSE)),"",VLOOKUP(D43,LPG_Test_Lookup,2,FALSE))</f>
        <v/>
      </c>
      <c r="F43" s="144" t="s">
        <v>400</v>
      </c>
      <c r="G43" s="123">
        <v>31</v>
      </c>
    </row>
    <row r="44" spans="1:7" ht="13.8" thickBot="1">
      <c r="A44" s="124"/>
      <c r="B44" s="128" t="s">
        <v>656</v>
      </c>
      <c r="C44" s="126" t="str">
        <f>IF(D43=Lists!E89,"Select the relevant test standard","Not applicable as the boiler was not tested on LPG")</f>
        <v>Not applicable as the boiler was not tested on LPG</v>
      </c>
      <c r="D44" s="164" t="s">
        <v>224</v>
      </c>
      <c r="E44" s="106"/>
      <c r="F44" s="144"/>
      <c r="G44" s="123"/>
    </row>
    <row r="45" spans="1:7" ht="53.4" thickBot="1">
      <c r="A45" s="124"/>
      <c r="B45" s="128" t="s">
        <v>289</v>
      </c>
      <c r="C45" s="126" t="s">
        <v>251</v>
      </c>
      <c r="D45" s="179" t="str">
        <f>IF(D44=Lists!E93,Lists!E98,IF(D44=Lists!E94,Lists!E99,IF(D44=Lists!E92,Lists!E96,Lists!E97)))</f>
        <v>If applicable select a standard above</v>
      </c>
      <c r="E45" s="106" t="str">
        <f>IF(ISERROR(VLOOKUP(D45,LPG_Condens_Uplift_Lookup,2,FALSE)),"",VLOOKUP(D45,LPG_Condens_Uplift_Lookup,2,FALSE))</f>
        <v/>
      </c>
      <c r="F45" s="115" t="s">
        <v>400</v>
      </c>
      <c r="G45" s="123">
        <v>32</v>
      </c>
    </row>
    <row r="46" spans="1:7" ht="53.4" thickBot="1">
      <c r="A46" s="124"/>
      <c r="B46" s="133" t="s">
        <v>278</v>
      </c>
      <c r="C46" s="134" t="s">
        <v>134</v>
      </c>
      <c r="D46" s="178" t="s">
        <v>211</v>
      </c>
      <c r="E46" s="106" t="str">
        <f>IF(ISERROR(VLOOKUP(D46,Boiler_Type_BED_Lookup,2,FALSE)),"",VLOOKUP(D46,Boiler_Type_BED_Lookup,2,FALSE))</f>
        <v/>
      </c>
      <c r="F46" s="115" t="s">
        <v>397</v>
      </c>
      <c r="G46" s="129">
        <v>33</v>
      </c>
    </row>
    <row r="47" spans="1:7" ht="31.5" customHeight="1" thickBot="1">
      <c r="A47" s="124"/>
      <c r="B47" s="133" t="s">
        <v>474</v>
      </c>
      <c r="C47" s="134"/>
      <c r="D47" s="164" t="s">
        <v>472</v>
      </c>
      <c r="E47" s="106"/>
      <c r="F47" s="143" t="s">
        <v>665</v>
      </c>
      <c r="G47" s="129"/>
    </row>
    <row r="48" spans="1:7" ht="31.5" customHeight="1" thickBot="1">
      <c r="A48" s="124"/>
      <c r="B48" s="133" t="s">
        <v>663</v>
      </c>
      <c r="C48" s="134"/>
      <c r="D48" s="295"/>
      <c r="E48" s="106"/>
      <c r="F48" s="143" t="s">
        <v>665</v>
      </c>
      <c r="G48" s="129"/>
    </row>
    <row r="49" spans="1:7" ht="61.5" customHeight="1" thickBot="1">
      <c r="A49" s="124"/>
      <c r="B49" s="133" t="s">
        <v>477</v>
      </c>
      <c r="C49" s="134" t="s">
        <v>587</v>
      </c>
      <c r="D49" s="164" t="s">
        <v>586</v>
      </c>
      <c r="E49" s="106"/>
      <c r="F49" s="143" t="s">
        <v>665</v>
      </c>
      <c r="G49" s="129"/>
    </row>
    <row r="50" spans="1:7" ht="31.5" customHeight="1" thickBot="1">
      <c r="A50" s="124"/>
      <c r="B50" s="133" t="s">
        <v>476</v>
      </c>
      <c r="C50" s="134"/>
      <c r="D50" s="164" t="s">
        <v>472</v>
      </c>
      <c r="E50" s="106"/>
      <c r="F50" s="143" t="s">
        <v>665</v>
      </c>
      <c r="G50" s="129"/>
    </row>
    <row r="51" spans="1:7" ht="31.5" customHeight="1" thickBot="1">
      <c r="A51" s="124"/>
      <c r="B51" s="133" t="s">
        <v>664</v>
      </c>
      <c r="C51" s="134"/>
      <c r="D51" s="295"/>
      <c r="E51" s="106"/>
      <c r="F51" s="143" t="s">
        <v>665</v>
      </c>
      <c r="G51" s="129"/>
    </row>
    <row r="52" spans="1:7" ht="76.5" customHeight="1" thickBot="1">
      <c r="A52" s="124"/>
      <c r="B52" s="133" t="s">
        <v>581</v>
      </c>
      <c r="C52" s="134" t="s">
        <v>582</v>
      </c>
      <c r="D52" s="196"/>
      <c r="E52" s="106"/>
      <c r="F52" s="143" t="s">
        <v>665</v>
      </c>
      <c r="G52" s="129"/>
    </row>
    <row r="53" spans="1:7" ht="39.6">
      <c r="A53" s="103"/>
      <c r="B53" s="145" t="s">
        <v>460</v>
      </c>
      <c r="C53" s="131" t="s">
        <v>527</v>
      </c>
      <c r="D53" s="171"/>
      <c r="E53" s="146"/>
      <c r="F53" s="147"/>
      <c r="G53" s="114"/>
    </row>
    <row r="54" spans="1:7" ht="94.5" customHeight="1" thickBot="1">
      <c r="A54" s="103">
        <v>7</v>
      </c>
      <c r="B54" s="148" t="s">
        <v>149</v>
      </c>
      <c r="C54" s="131" t="s">
        <v>387</v>
      </c>
      <c r="D54" s="172"/>
      <c r="E54" s="149" t="str">
        <f>IF(D54="","",D54)</f>
        <v/>
      </c>
      <c r="F54" s="150"/>
      <c r="G54" s="114">
        <v>39</v>
      </c>
    </row>
    <row r="55" spans="1:7" ht="27" customHeight="1" thickBot="1">
      <c r="A55" s="103"/>
      <c r="B55" s="148" t="s">
        <v>450</v>
      </c>
      <c r="C55" s="151"/>
      <c r="D55" s="195"/>
      <c r="E55" s="135" t="str">
        <f>IF(D55="","",D55)</f>
        <v/>
      </c>
      <c r="F55" s="140" t="s">
        <v>403</v>
      </c>
      <c r="G55" s="114"/>
    </row>
    <row r="56" spans="1:7" ht="27" customHeight="1" thickBot="1">
      <c r="A56" s="103"/>
      <c r="B56" s="148" t="s">
        <v>451</v>
      </c>
      <c r="C56" s="151"/>
      <c r="D56" s="195"/>
      <c r="E56" s="135" t="str">
        <f>IF(D56="","",D56)</f>
        <v/>
      </c>
      <c r="F56" s="140" t="s">
        <v>403</v>
      </c>
      <c r="G56" s="114"/>
    </row>
    <row r="57" spans="1:7" ht="32.25" customHeight="1" thickBot="1">
      <c r="A57" s="103"/>
      <c r="B57" s="148" t="str">
        <f>IF(D55+D56&gt;15,"The boiler is a storage combi so the entries relating to 'Stores' MUST be completed","The boiler is an instantaneous combi so don't complete entries relating to the 'Stores'.")</f>
        <v>The boiler is an instantaneous combi so don't complete entries relating to the 'Stores'.</v>
      </c>
      <c r="C57" s="152"/>
      <c r="D57" s="173"/>
      <c r="E57" s="149"/>
      <c r="F57" s="150"/>
      <c r="G57" s="114"/>
    </row>
    <row r="58" spans="1:7" ht="32.25" customHeight="1" thickBot="1">
      <c r="A58" s="103">
        <v>1</v>
      </c>
      <c r="B58" s="148" t="s">
        <v>139</v>
      </c>
      <c r="C58" s="131" t="str">
        <f>IF(D55+D56&gt;15,"The boiler is a storage combi so select the principle type of water stored or if the product is a CPSU","The boiler is not a storage combi so select 'Not applicable'.")</f>
        <v>The boiler is not a storage combi so select 'Not applicable'.</v>
      </c>
      <c r="D58" s="164" t="s">
        <v>224</v>
      </c>
      <c r="E58" s="106" t="str">
        <f>IF(ISERROR(VLOOKUP(D58,Store_Type_Lookup,2,FALSE)),"",VLOOKUP(D58,Store_Type_Lookup,2,FALSE))</f>
        <v/>
      </c>
      <c r="F58" s="140" t="s">
        <v>403</v>
      </c>
      <c r="G58" s="114">
        <v>37</v>
      </c>
    </row>
    <row r="59" spans="1:7" ht="67.5" customHeight="1" thickBot="1">
      <c r="A59" s="103">
        <v>1</v>
      </c>
      <c r="B59" s="112" t="s">
        <v>144</v>
      </c>
      <c r="C59" s="131" t="str">
        <f>IF(D55+D56&gt;15,"Internal Hot Water Store (IHWS) - The boiler is a storage combi so indicate whether or not the heat loss from the internal hot water store was included in the BED efficiency determination","The boiler is not a storage combi so this entry should not be completed.")</f>
        <v>The boiler is not a storage combi so this entry should not be completed.</v>
      </c>
      <c r="D59" s="164" t="s">
        <v>254</v>
      </c>
      <c r="E59" s="106" t="str">
        <f>IF(ISERROR(VLOOKUP(D59,Store_Loss_Lookup,2,FALSE)),"",VLOOKUP(D59,Store_Loss_Lookup,2,FALSE))</f>
        <v/>
      </c>
      <c r="F59" s="108" t="s">
        <v>399</v>
      </c>
      <c r="G59" s="114">
        <v>38</v>
      </c>
    </row>
    <row r="60" spans="1:7" ht="65.25" customHeight="1" thickBot="1">
      <c r="A60" s="103"/>
      <c r="B60" s="112" t="s">
        <v>144</v>
      </c>
      <c r="C60" s="112" t="str">
        <f>IF(D55+D56&gt;15,"The boiler is a storage combi so state the Internal Hot Water Store (IHWS) Heat Loss measurement method used","The boiler is not a storage combi so this entry should not be completed.")</f>
        <v>The boiler is not a storage combi so this entry should not be completed.</v>
      </c>
      <c r="D60" s="175"/>
      <c r="E60" s="146"/>
      <c r="F60" s="147"/>
      <c r="G60" s="114" t="s">
        <v>120</v>
      </c>
    </row>
    <row r="61" spans="1:7" ht="27" thickBot="1">
      <c r="A61" s="103">
        <v>3</v>
      </c>
      <c r="B61" s="148" t="s">
        <v>152</v>
      </c>
      <c r="C61" s="131" t="str">
        <f>IF(D55+D56&gt;15,"Enter the average thickness in mm of the insulation applied to the internal hot water store, but if the value is unknown leave blank.","The boiler is not a Storage Combi so this entry should not be completed.")</f>
        <v>The boiler is not a Storage Combi so this entry should not be completed.</v>
      </c>
      <c r="D61" s="175"/>
      <c r="E61" s="135" t="str">
        <f>IF(D61="","",D61)</f>
        <v/>
      </c>
      <c r="F61" s="153" t="s">
        <v>397</v>
      </c>
      <c r="G61" s="114">
        <v>40</v>
      </c>
    </row>
    <row r="62" spans="1:7" ht="27" thickBot="1">
      <c r="A62" s="103">
        <v>1</v>
      </c>
      <c r="B62" s="148" t="s">
        <v>153</v>
      </c>
      <c r="C62" s="131" t="str">
        <f>IF(D55+D56&gt;15,"Indicate the material used to insulate the internal hot water store. For other specialist insulants select the material with the nearest thermal conductivity."," The boiler is not a Storage Combi so this entry should not be completed.")</f>
        <v xml:space="preserve"> The boiler is not a Storage Combi so this entry should not be completed.</v>
      </c>
      <c r="D62" s="164" t="s">
        <v>257</v>
      </c>
      <c r="E62" s="106" t="str">
        <f>IF(ISERROR(VLOOKUP(D62,Store_Insulant_Lookup,2,FALSE)),"",VLOOKUP(D62,Store_Insulant_Lookup,2,FALSE))</f>
        <v/>
      </c>
      <c r="F62" s="153" t="s">
        <v>397</v>
      </c>
      <c r="G62" s="114">
        <v>41</v>
      </c>
    </row>
    <row r="63" spans="1:7" ht="27" thickBot="1">
      <c r="A63" s="103">
        <v>2</v>
      </c>
      <c r="B63" s="148" t="s">
        <v>160</v>
      </c>
      <c r="C63" s="131" t="str">
        <f>IF(D55+D56&gt;15,"Enter the average temperature in °C of the hot water in contact with the exterior walls of the internal hot water store.  The boiler shall be at its WINTER setting, but if the value is unknown leave blank.","The boiler is not a Storage Combi so this entry should not be completed.")</f>
        <v>The boiler is not a Storage Combi so this entry should not be completed.</v>
      </c>
      <c r="D63" s="176"/>
      <c r="E63" s="135" t="str">
        <f>IF(D63="","",D63)</f>
        <v/>
      </c>
      <c r="F63" s="153" t="s">
        <v>397</v>
      </c>
      <c r="G63" s="114">
        <v>42</v>
      </c>
    </row>
    <row r="64" spans="1:7" ht="48" customHeight="1" thickBot="1">
      <c r="A64" s="103">
        <v>5</v>
      </c>
      <c r="B64" s="148" t="s">
        <v>161</v>
      </c>
      <c r="C64" s="131" t="str">
        <f>IF(D55+D56&gt;15,"The measured heat loss from the IHWS in Watts, but if the value is unknown leave blank.","The boiler is not a Storage Combi so this entry should not be completed.")</f>
        <v>The boiler is not a Storage Combi so this entry should not be completed.</v>
      </c>
      <c r="D64" s="183"/>
      <c r="E64" s="135" t="str">
        <f>IF(D64="","",D64)</f>
        <v/>
      </c>
      <c r="F64" s="153" t="s">
        <v>400</v>
      </c>
      <c r="G64" s="114">
        <v>43</v>
      </c>
    </row>
    <row r="65" spans="1:7" ht="42.75" customHeight="1" thickBot="1">
      <c r="A65" s="103">
        <v>1</v>
      </c>
      <c r="B65" s="148" t="s">
        <v>162</v>
      </c>
      <c r="C65" s="131" t="str">
        <f>IF(D55+D56&gt;15,"Select whether or not the hot water store is within the boiler casing, but if this is unknown select 'Unknown'.","The boiler is not a Storage Combi so this entry should not be completed.")</f>
        <v>The boiler is not a Storage Combi so this entry should not be completed.</v>
      </c>
      <c r="D65" s="164" t="s">
        <v>262</v>
      </c>
      <c r="E65" s="106" t="str">
        <f>IF(ISERROR(VLOOKUP(D65,Separate_Store_Lookup,2,FALSE)),"",VLOOKUP(D65,Separate_Store_Lookup,2,FALSE))</f>
        <v/>
      </c>
      <c r="F65" s="153" t="s">
        <v>397</v>
      </c>
      <c r="G65" s="114">
        <v>44</v>
      </c>
    </row>
    <row r="66" spans="1:7" ht="61.5" customHeight="1" thickBot="1">
      <c r="A66" s="103">
        <v>1</v>
      </c>
      <c r="B66" s="148" t="s">
        <v>165</v>
      </c>
      <c r="C66" s="131" t="str">
        <f>IF(AND(D15=Lists!E46,(D55+D56&lt;=15)),"Select the type of “keep-hot” facility intended to keep the internal store hot while not in use, but if this is unknown leave blank.","The boiler is not an Instantaneous Combi so Not Applicable must be selected.")</f>
        <v>The boiler is not an Instantaneous Combi so Not Applicable must be selected.</v>
      </c>
      <c r="D66" s="164" t="s">
        <v>272</v>
      </c>
      <c r="E66" s="106" t="str">
        <f>IF(ISERROR(VLOOKUP(D66,Keep_Hot_Lookup,2,FALSE)),"",VLOOKUP(D66,Keep_Hot_Lookup,2,FALSE))</f>
        <v/>
      </c>
      <c r="F66" s="140" t="s">
        <v>401</v>
      </c>
      <c r="G66" s="114">
        <v>45</v>
      </c>
    </row>
    <row r="67" spans="1:7" ht="49.5" customHeight="1" thickBot="1">
      <c r="A67" s="103">
        <v>1</v>
      </c>
      <c r="B67" s="148" t="s">
        <v>529</v>
      </c>
      <c r="C67" s="131" t="str">
        <f>IF(AND(D15=Lists!E46,(D55+D56&lt;=15)),"Select whether any “keep-hot” facility has time control.","The boiler is not an Instantaneous Combi so Unknown/Not Applicable must be slected.")</f>
        <v>The boiler is not an Instantaneous Combi so Unknown/Not Applicable must be slected.</v>
      </c>
      <c r="D67" s="164" t="s">
        <v>269</v>
      </c>
      <c r="E67" s="106" t="str">
        <f>IF(ISERROR(VLOOKUP(D67,Keep_Hot_Timer_Lookup,2,FALSE)),"",VLOOKUP(D67,Keep_Hot_Timer_Lookup,2,FALSE))</f>
        <v/>
      </c>
      <c r="F67" s="140" t="s">
        <v>401</v>
      </c>
      <c r="G67" s="114">
        <v>46</v>
      </c>
    </row>
    <row r="68" spans="1:7" ht="40.200000000000003" customHeight="1" thickBot="1">
      <c r="A68" s="103"/>
      <c r="B68" s="148" t="s">
        <v>170</v>
      </c>
      <c r="C68" s="131" t="str">
        <f>IF(AND(D15=Lists!E46,(D55+D56&lt;=15)),"Enter the power rating of the electric heating element in the internal hot water store in Watts.
If there is no Electric Heating Element  to heat the store enter 0.
If Unknown/Not Applicable leave blank.","The boiler is not an Instantaneous Combi so this entry must be left blank.")</f>
        <v>The boiler is not an Instantaneous Combi so this entry must be left blank.</v>
      </c>
      <c r="D68" s="183"/>
      <c r="E68" s="135" t="str">
        <f>IF(D68="","",D68)</f>
        <v/>
      </c>
      <c r="F68" s="140" t="s">
        <v>401</v>
      </c>
      <c r="G68" s="114">
        <v>47</v>
      </c>
    </row>
    <row r="69" spans="1:7" ht="27" thickBot="1">
      <c r="A69" s="103">
        <v>7</v>
      </c>
      <c r="B69" s="148" t="s">
        <v>171</v>
      </c>
      <c r="C69" s="131" t="str">
        <f>IF(OR(D55&lt;&gt;"",D56&lt;&gt;""),"If the internal hot water store includes a dedicated solar zone, the water volume of the dedicated solar zone in litres.
If Unknown leave blank","There are no internal stores so leave blank")</f>
        <v>There are no internal stores so leave blank</v>
      </c>
      <c r="D69" s="195"/>
      <c r="E69" s="135" t="str">
        <f t="shared" ref="E69:E75" si="0">IF(D69="","",D69)</f>
        <v/>
      </c>
      <c r="F69" s="140" t="s">
        <v>401</v>
      </c>
      <c r="G69" s="114">
        <v>48</v>
      </c>
    </row>
    <row r="70" spans="1:7" s="76" customFormat="1" ht="27" customHeight="1" thickBot="1">
      <c r="A70" s="103"/>
      <c r="B70" s="145" t="s">
        <v>364</v>
      </c>
      <c r="C70" s="148"/>
      <c r="D70" s="287"/>
      <c r="E70" s="149"/>
      <c r="F70" s="150"/>
      <c r="G70" s="114"/>
    </row>
    <row r="71" spans="1:7" ht="81" customHeight="1" thickBot="1">
      <c r="A71" s="124"/>
      <c r="B71" s="133" t="str">
        <f>CONCATENATE("Separate DHW tests
",(IF(D15=Lists!E46," - the boiler is a Combi so separate DHW test data must be provided."," - the boiler is not a Combi so separate DHW data is not required.")))</f>
        <v>Separate DHW tests
 - the boiler is not a Combi so separate DHW data is not required.</v>
      </c>
      <c r="C71" s="134" t="s">
        <v>283</v>
      </c>
      <c r="D71" s="164" t="s">
        <v>275</v>
      </c>
      <c r="E71" s="106" t="str">
        <f>IF(ISERROR(VLOOKUP(D71,DHW_Tests_Lookup,2,FALSE)),"",VLOOKUP(D71,DHW_Tests_Lookup,2,FALSE))</f>
        <v/>
      </c>
      <c r="F71" s="108" t="s">
        <v>399</v>
      </c>
      <c r="G71" s="114">
        <v>49</v>
      </c>
    </row>
    <row r="72" spans="1:7" ht="81" customHeight="1" thickBot="1">
      <c r="A72" s="124"/>
      <c r="B72" s="133" t="s">
        <v>635</v>
      </c>
      <c r="C72" s="134" t="str">
        <f>IF(OR(D71=Lists!E171,D71=Lists!E172,D71=Lists!E173),"Select the standard used to determine the hot water data.","Not undertaken, do not complete this section.")</f>
        <v>Not undertaken, do not complete this section.</v>
      </c>
      <c r="D72" s="164" t="s">
        <v>638</v>
      </c>
      <c r="E72" s="106"/>
      <c r="F72" s="108"/>
      <c r="G72" s="114"/>
    </row>
    <row r="73" spans="1:7" ht="42.75" customHeight="1" thickBot="1">
      <c r="A73" s="124"/>
      <c r="B73" s="133" t="s">
        <v>394</v>
      </c>
      <c r="C73" s="133" t="str">
        <f>IF(OR(D71=Lists!E171,D71=Lists!E172,D71=Lists!E173),"Tapping Cycle no.2 / Load Profile M as defined in the relevant standard.","Not undertaken, do not complete this section.")</f>
        <v>Not undertaken, do not complete this section.</v>
      </c>
      <c r="D73" s="174"/>
      <c r="E73" s="146"/>
      <c r="F73" s="147"/>
      <c r="G73" s="114"/>
    </row>
    <row r="74" spans="1:7" ht="53.25" customHeight="1" thickBot="1">
      <c r="A74" s="124">
        <v>6</v>
      </c>
      <c r="B74" s="133" t="s">
        <v>492</v>
      </c>
      <c r="C74" s="133" t="str">
        <f>IF(AND(OR($D$71=Lists!$E$171,$D$71=Lists!$E$172,$D$71=Lists!$E$173),OR($D$72=Lists!$E$177,$D$72=Lists!$E$178,$D$72=Lists!$E$179)),CONCATENATE("The fuel input energy, ",VLOOKUP('Submission Form'!$D$72,DHW_FuelEnergyParam,2,FALSE)),"Leave Blank")</f>
        <v>Leave Blank</v>
      </c>
      <c r="D74" s="196"/>
      <c r="E74" s="135" t="str">
        <f t="shared" si="0"/>
        <v/>
      </c>
      <c r="F74" s="113" t="s">
        <v>410</v>
      </c>
      <c r="G74" s="114">
        <v>50</v>
      </c>
    </row>
    <row r="75" spans="1:7" ht="45.75" customHeight="1" thickBot="1">
      <c r="A75" s="124">
        <v>6</v>
      </c>
      <c r="B75" s="133" t="s">
        <v>493</v>
      </c>
      <c r="C75" s="134" t="str">
        <f>IF(AND(OR($D$71=Lists!$E$171,$D$71=Lists!$E$172,$D$71=Lists!$E$173),OR($D$72=Lists!$E$177,$D$72=Lists!$E$178,$D$72=Lists!$E$179)),CONCATENATE("The electrical input energy, ",VLOOKUP('Submission Form'!$D$72,DHW_Elecco,2,FALSE)),"Leave Blank")</f>
        <v>Leave Blank</v>
      </c>
      <c r="D75" s="196"/>
      <c r="E75" s="135" t="str">
        <f t="shared" si="0"/>
        <v/>
      </c>
      <c r="F75" s="113" t="s">
        <v>410</v>
      </c>
      <c r="G75" s="114">
        <v>51</v>
      </c>
    </row>
    <row r="76" spans="1:7" ht="57.75" customHeight="1" thickBot="1">
      <c r="A76" s="124">
        <v>6</v>
      </c>
      <c r="B76" s="133" t="s">
        <v>494</v>
      </c>
      <c r="C76" s="134" t="str">
        <f>IF(AND(OR($D$71=Lists!$E$171,$D$71=Lists!$E$172,$D$71=Lists!$E$173),OR($D$72=Lists!$E$177,$D$72=Lists!$E$178,$D$72=Lists!$E$179)),CONCATENATE("The wasted water rate, ",VLOOKUP('Submission Form'!$D$72,DHW_WastedW,2,FALSE)),"Leave Blank")</f>
        <v>Leave Blank</v>
      </c>
      <c r="D76" s="197"/>
      <c r="E76" s="135" t="str">
        <f>IF(D76="","",100*D76)</f>
        <v/>
      </c>
      <c r="F76" s="113" t="s">
        <v>410</v>
      </c>
      <c r="G76" s="114">
        <v>52</v>
      </c>
    </row>
    <row r="77" spans="1:7" ht="39.75" customHeight="1" thickBot="1">
      <c r="A77" s="124"/>
      <c r="B77" s="133" t="s">
        <v>495</v>
      </c>
      <c r="C77" s="133" t="str">
        <f>IF(D71=Lists!E172,"Tapping Cycle no.3 / Load Profile L, as defined in the relevant standard",IF(D71=Lists!E173,"Tapping Cycle no.1 / Load Profile S, as defined in the relevant standard","Not undertaken do not complete this section"))</f>
        <v>Not undertaken do not complete this section</v>
      </c>
      <c r="D77" s="177"/>
      <c r="E77" s="149"/>
      <c r="F77" s="150"/>
      <c r="G77" s="114"/>
    </row>
    <row r="78" spans="1:7" ht="60" customHeight="1" thickBot="1">
      <c r="A78" s="124">
        <v>6</v>
      </c>
      <c r="B78" s="133" t="s">
        <v>496</v>
      </c>
      <c r="C78" s="133" t="str">
        <f>IF(AND(OR($D$71=Lists!$E$172,$D$71=Lists!$E$173),OR($D$72=Lists!$E$177,$D$72=Lists!$E$178,$D$72=Lists!$E$179)),CONCATENATE("The fuel input energy, ",VLOOKUP('Submission Form'!$D$72,DHW_FuelEnergyParam,2,FALSE)),"Leave Blank")</f>
        <v>Leave Blank</v>
      </c>
      <c r="D78" s="196"/>
      <c r="E78" s="135" t="str">
        <f>IF(D78="","",D78)</f>
        <v/>
      </c>
      <c r="F78" s="113" t="s">
        <v>410</v>
      </c>
      <c r="G78" s="114">
        <v>53</v>
      </c>
    </row>
    <row r="79" spans="1:7" ht="39.75" customHeight="1" thickBot="1">
      <c r="A79" s="124">
        <v>6</v>
      </c>
      <c r="B79" s="133" t="s">
        <v>497</v>
      </c>
      <c r="C79" s="134" t="str">
        <f>IF(AND(OR($D$71=Lists!$E$172,$D$71=Lists!$E$173),OR($D$72=Lists!$E$177,$D$72=Lists!$E$178,$D$72=Lists!$E$179)),CONCATENATE("The electrical input energy, ",VLOOKUP('Submission Form'!$D$72,DHW_Elecco,2,FALSE)),"Leave Blank")</f>
        <v>Leave Blank</v>
      </c>
      <c r="D79" s="196"/>
      <c r="E79" s="135" t="str">
        <f>IF(D79="","",D79)</f>
        <v/>
      </c>
      <c r="F79" s="113" t="s">
        <v>410</v>
      </c>
      <c r="G79" s="114">
        <v>54</v>
      </c>
    </row>
    <row r="80" spans="1:7" ht="39.75" customHeight="1" thickBot="1">
      <c r="A80" s="124">
        <v>6</v>
      </c>
      <c r="B80" s="133" t="s">
        <v>498</v>
      </c>
      <c r="C80" s="134" t="str">
        <f>IF(AND(OR($D$71=Lists!$E$172,$D$71=Lists!$E$173),OR($D$72=Lists!$E$177,$D$72=Lists!$E$178,$D$72=Lists!$E$179)),CONCATENATE("The wasted water rate, ",VLOOKUP('Submission Form'!$D$72,DHW_WastedW,2,FALSE)),"Leave Blank")</f>
        <v>Leave Blank</v>
      </c>
      <c r="D80" s="197"/>
      <c r="E80" s="135" t="str">
        <f>IF(D80="","",100*D80)</f>
        <v/>
      </c>
      <c r="F80" s="113" t="s">
        <v>410</v>
      </c>
      <c r="G80" s="114">
        <v>55</v>
      </c>
    </row>
    <row r="81" spans="1:7" ht="145.80000000000001" thickBot="1">
      <c r="A81" s="154"/>
      <c r="B81" s="155" t="s">
        <v>390</v>
      </c>
      <c r="C81" s="112" t="s">
        <v>515</v>
      </c>
      <c r="D81" s="174"/>
      <c r="E81" s="146"/>
      <c r="F81" s="147"/>
      <c r="G81" s="114"/>
    </row>
    <row r="82" spans="1:7" ht="27" thickBot="1">
      <c r="A82" s="154"/>
      <c r="B82" s="112" t="s">
        <v>284</v>
      </c>
      <c r="C82" s="105"/>
      <c r="D82" s="164" t="s">
        <v>224</v>
      </c>
      <c r="E82" s="146"/>
      <c r="F82" s="113" t="s">
        <v>397</v>
      </c>
      <c r="G82" s="114" t="s">
        <v>293</v>
      </c>
    </row>
    <row r="83" spans="1:7" ht="38.4" customHeight="1" thickBot="1">
      <c r="A83" s="154"/>
      <c r="B83" s="112"/>
      <c r="C83" s="105" t="str">
        <f>IF(D$82&lt;&gt;"YES","This not a badged boiler so ignore this section.",Lists!G202)</f>
        <v>This not a badged boiler so ignore this section.</v>
      </c>
      <c r="D83" s="174"/>
      <c r="E83" s="146"/>
      <c r="F83" s="113"/>
      <c r="G83" s="114"/>
    </row>
    <row r="84" spans="1:7" ht="38.4" customHeight="1" thickBot="1">
      <c r="A84" s="103">
        <v>50</v>
      </c>
      <c r="B84" s="112" t="s">
        <v>285</v>
      </c>
      <c r="C84" s="105" t="str">
        <f>IF(D$82&lt;&gt;"YES","This not a badged boiler so ignore this entry.",Lists!G203)</f>
        <v>This not a badged boiler so ignore this entry.</v>
      </c>
      <c r="D84" s="179" t="str">
        <f>IF(ISERROR(IF(D$82="YES",D4,"")),"",IF(D$82="YES",D4,""))</f>
        <v/>
      </c>
      <c r="E84" s="146"/>
      <c r="F84" s="113" t="s">
        <v>397</v>
      </c>
      <c r="G84" s="114" t="s">
        <v>182</v>
      </c>
    </row>
    <row r="85" spans="1:7" ht="38.4" customHeight="1" thickBot="1">
      <c r="A85" s="103">
        <v>50</v>
      </c>
      <c r="B85" s="112" t="s">
        <v>286</v>
      </c>
      <c r="C85" s="105" t="str">
        <f>IF(D$82&lt;&gt;"YES","This not a badged boiler so ignore this entry.",Lists!G204)</f>
        <v>This not a badged boiler so ignore this entry.</v>
      </c>
      <c r="D85" s="179" t="str">
        <f>IF(ISERROR(IF(D$82="YES",D5,"")),"",IF(D$82="YES",D5,""))</f>
        <v/>
      </c>
      <c r="E85" s="146"/>
      <c r="F85" s="113" t="s">
        <v>397</v>
      </c>
      <c r="G85" s="114" t="s">
        <v>183</v>
      </c>
    </row>
    <row r="86" spans="1:7" ht="38.4" customHeight="1" thickBot="1">
      <c r="A86" s="103">
        <v>30</v>
      </c>
      <c r="B86" s="112" t="s">
        <v>287</v>
      </c>
      <c r="C86" s="105" t="str">
        <f>IF(D$82&lt;&gt;"YES","This not a badged boiler so ignore this entry.",Lists!G205)</f>
        <v>This not a badged boiler so ignore this entry.</v>
      </c>
      <c r="D86" s="179" t="str">
        <f>IF(ISERROR(IF(D$82="YES",D6,"")),"",IF(D$82="YES",D6,""))</f>
        <v/>
      </c>
      <c r="E86" s="146"/>
      <c r="F86" s="113" t="s">
        <v>397</v>
      </c>
      <c r="G86" s="114" t="s">
        <v>184</v>
      </c>
    </row>
    <row r="87" spans="1:7" ht="40.200000000000003" thickBot="1">
      <c r="A87" s="103">
        <v>50</v>
      </c>
      <c r="B87" s="112" t="str">
        <f>CONCATENATE("Master Model 'Brand Name'
",IF(D82="YES"," - the boiler is badged from another model so this entry must be completed."," - the boiler is not badged from another model so this entry must NOT be completed."))</f>
        <v>Master Model 'Brand Name'
 - the boiler is not badged from another model so this entry must NOT be completed.</v>
      </c>
      <c r="C87" s="105" t="str">
        <f>IF(D$82&lt;&gt;"YES","This not a badged boiler so ignore this entry.",Lists!G206)</f>
        <v>This not a badged boiler so ignore this entry.</v>
      </c>
      <c r="D87" s="164"/>
      <c r="E87" s="146"/>
      <c r="F87" s="113" t="s">
        <v>397</v>
      </c>
      <c r="G87" s="114" t="s">
        <v>179</v>
      </c>
    </row>
    <row r="88" spans="1:7" ht="40.200000000000003" thickBot="1">
      <c r="A88" s="103">
        <v>50</v>
      </c>
      <c r="B88" s="112" t="str">
        <f>CONCATENATE("Master Model 'Model Name'
",IF(D82="YES"," - the boiler is badged from another model so this entry must be completed."," - the boiler is not badged from another model so this entry must NOT be completed."))</f>
        <v>Master Model 'Model Name'
 - the boiler is not badged from another model so this entry must NOT be completed.</v>
      </c>
      <c r="C88" s="105" t="str">
        <f>IF(D$82&lt;&gt;"YES","This not a badged boiler so ignore this entry.",Lists!G207)</f>
        <v>This not a badged boiler so ignore this entry.</v>
      </c>
      <c r="D88" s="164"/>
      <c r="E88" s="146"/>
      <c r="F88" s="113" t="s">
        <v>397</v>
      </c>
      <c r="G88" s="114" t="s">
        <v>180</v>
      </c>
    </row>
    <row r="89" spans="1:7" ht="40.200000000000003" thickBot="1">
      <c r="A89" s="103">
        <v>30</v>
      </c>
      <c r="B89" s="112" t="str">
        <f>CONCATENATE("Master Model 'Model Qualifier'
",IF(D82="YES"," - the boiler is badged from another model so this entry must be completed."," - the boiler is not badged from another model so this entry must NOT be completed."))</f>
        <v>Master Model 'Model Qualifier'
 - the boiler is not badged from another model so this entry must NOT be completed.</v>
      </c>
      <c r="C89" s="105" t="str">
        <f>IF(D$82&lt;&gt;"YES","This not a badged boiler so ignore this entry.",Lists!G208)</f>
        <v>This not a badged boiler so ignore this entry.</v>
      </c>
      <c r="D89" s="164"/>
      <c r="E89" s="146"/>
      <c r="F89" s="113" t="s">
        <v>397</v>
      </c>
      <c r="G89" s="114" t="s">
        <v>181</v>
      </c>
    </row>
    <row r="90" spans="1:7" ht="40.200000000000003" thickBot="1">
      <c r="A90" s="148"/>
      <c r="B90" s="148" t="s">
        <v>277</v>
      </c>
      <c r="C90" s="105" t="str">
        <f>IF(D$82&lt;&gt;"YES","This not a badged boiler so ignore this entry.",Lists!G209)</f>
        <v>This not a badged boiler so ignore this entry.</v>
      </c>
      <c r="D90" s="164" t="s">
        <v>224</v>
      </c>
      <c r="E90" s="146"/>
      <c r="F90" s="113" t="s">
        <v>397</v>
      </c>
      <c r="G90" s="114" t="s">
        <v>185</v>
      </c>
    </row>
    <row r="91" spans="1:7" ht="32.4" customHeight="1" thickBot="1">
      <c r="A91" s="141"/>
      <c r="B91" s="156" t="s">
        <v>483</v>
      </c>
      <c r="C91" s="128" t="str">
        <f>IF(AND(D$12=Lists!E$13,D$43=Lists!E$90),"This section MUST be completed as the boiler is designed for LPG but tested on NG","Do NOT complete this section")</f>
        <v>Do NOT complete this section</v>
      </c>
      <c r="D91" s="174"/>
      <c r="E91" s="146"/>
      <c r="F91" s="147"/>
      <c r="G91" s="114"/>
    </row>
    <row r="92" spans="1:7" ht="32.4" customHeight="1" thickBot="1">
      <c r="A92" s="133"/>
      <c r="B92" s="128" t="s">
        <v>517</v>
      </c>
      <c r="C92" s="128" t="str">
        <f>IF(AND(D$12=Lists!E$13,D$43=Lists!E$90),Lists!G210,"Do NOT complete this entry")</f>
        <v>Do NOT complete this entry</v>
      </c>
      <c r="D92" s="164"/>
      <c r="E92" s="146"/>
      <c r="F92" s="113" t="s">
        <v>397</v>
      </c>
      <c r="G92" s="114" t="s">
        <v>186</v>
      </c>
    </row>
    <row r="93" spans="1:7" ht="32.4" customHeight="1" thickBot="1">
      <c r="A93" s="133"/>
      <c r="B93" s="128" t="s">
        <v>516</v>
      </c>
      <c r="C93" s="128" t="str">
        <f>IF(AND(D$12=Lists!E$13,D$43=Lists!E$90),Lists!G211,"Do NOT complete this entry")</f>
        <v>Do NOT complete this entry</v>
      </c>
      <c r="D93" s="164"/>
      <c r="E93" s="146"/>
      <c r="F93" s="113" t="s">
        <v>397</v>
      </c>
      <c r="G93" s="114" t="s">
        <v>188</v>
      </c>
    </row>
    <row r="94" spans="1:7" ht="53.4" thickBot="1">
      <c r="A94" s="133"/>
      <c r="B94" s="128" t="s">
        <v>530</v>
      </c>
      <c r="C94" s="128" t="str">
        <f>IF(AND(D$12=Lists!E$13,D$43=Lists!E$90),"I declare that the difference between the NG and LPG boilers identified in this submission are minor (e.g. different injector, gas valve adjustment.","This declaration is not required.")</f>
        <v>This declaration is not required.</v>
      </c>
      <c r="D94" s="164"/>
      <c r="E94" s="146"/>
      <c r="F94" s="113" t="s">
        <v>397</v>
      </c>
      <c r="G94" s="114"/>
    </row>
    <row r="95" spans="1:7" ht="27" customHeight="1" thickBot="1">
      <c r="A95" s="133"/>
      <c r="B95" s="133" t="s">
        <v>535</v>
      </c>
      <c r="C95" s="128" t="str">
        <f>IF(AND(D$12=Lists!E$13,D$43=Lists!E$90),Lists!G212,"Do NOT complete this entry")</f>
        <v>Do NOT complete this entry</v>
      </c>
      <c r="D95" s="204"/>
      <c r="E95" s="146"/>
      <c r="F95" s="108" t="s">
        <v>402</v>
      </c>
      <c r="G95" s="114" t="s">
        <v>190</v>
      </c>
    </row>
    <row r="96" spans="1:7" ht="27" customHeight="1" thickBot="1">
      <c r="A96" s="133"/>
      <c r="B96" s="133" t="s">
        <v>536</v>
      </c>
      <c r="C96" s="128" t="str">
        <f>IF(AND(D$12=Lists!E$13,D$43=Lists!E$90),Lists!G213,"Ignore this entry")</f>
        <v>Ignore this entry</v>
      </c>
      <c r="D96" s="204"/>
      <c r="E96" s="146"/>
      <c r="F96" s="108" t="s">
        <v>402</v>
      </c>
      <c r="G96" s="114" t="s">
        <v>192</v>
      </c>
    </row>
    <row r="97" spans="1:7" ht="45" thickBot="1">
      <c r="A97" s="133"/>
      <c r="B97" s="133" t="s">
        <v>519</v>
      </c>
      <c r="C97" s="128" t="str">
        <f>IF(AND(D$12=Lists!E$13,D$43=Lists!E$90),Lists!G214,"Do NOT complete this entry")</f>
        <v>Do NOT complete this entry</v>
      </c>
      <c r="D97" s="308"/>
      <c r="E97" s="146"/>
      <c r="F97" s="113" t="s">
        <v>402</v>
      </c>
      <c r="G97" s="114" t="s">
        <v>194</v>
      </c>
    </row>
    <row r="98" spans="1:7" ht="42.6" thickBot="1">
      <c r="A98" s="133"/>
      <c r="B98" s="133" t="s">
        <v>520</v>
      </c>
      <c r="C98" s="128" t="str">
        <f>IF(AND(D$12=Lists!E$13,D$43=Lists!E$90),Lists!G215,"Do NOT complete this entry")</f>
        <v>Do NOT complete this entry</v>
      </c>
      <c r="D98" s="308"/>
      <c r="E98" s="146"/>
      <c r="F98" s="113" t="s">
        <v>402</v>
      </c>
      <c r="G98" s="114" t="s">
        <v>195</v>
      </c>
    </row>
    <row r="99" spans="1:7" ht="27" thickBot="1">
      <c r="A99" s="157"/>
      <c r="B99" s="158" t="s">
        <v>518</v>
      </c>
      <c r="C99" s="159"/>
      <c r="D99" s="160" t="str">
        <f>IF(D98="","NO DATA",IF(AND(D98*100&gt;=ROUNDUP((753.97*D97*100)/(656.97-(1.3888*D97*100)),1),ABS(D95-D96)&lt;(D95*0.05)),"YES","NO"))</f>
        <v>NO DATA</v>
      </c>
      <c r="E99" s="146"/>
      <c r="F99" s="208"/>
      <c r="G99" s="205"/>
    </row>
    <row r="100" spans="1:7" ht="13.8" hidden="1">
      <c r="A100" s="161"/>
      <c r="B100" s="161"/>
      <c r="C100" s="161"/>
      <c r="D100" s="162"/>
      <c r="E100" s="161"/>
      <c r="F100" s="161"/>
      <c r="G100" s="206"/>
    </row>
    <row r="101" spans="1:7" ht="14.4" hidden="1">
      <c r="A101" s="161"/>
      <c r="B101" s="161"/>
      <c r="C101" s="95"/>
      <c r="D101" s="95"/>
      <c r="E101" s="161"/>
      <c r="F101" s="161"/>
      <c r="G101" s="206"/>
    </row>
    <row r="102" spans="1:7" ht="14.4" hidden="1">
      <c r="A102" s="161"/>
      <c r="B102" s="161"/>
      <c r="C102" s="95"/>
      <c r="D102" s="95"/>
      <c r="E102" s="161"/>
      <c r="F102" s="161"/>
      <c r="G102" s="206"/>
    </row>
    <row r="103" spans="1:7" ht="14.4" hidden="1">
      <c r="A103" s="161"/>
      <c r="B103" s="161"/>
      <c r="C103" s="95"/>
      <c r="D103" s="95"/>
      <c r="E103" s="161"/>
      <c r="F103" s="161"/>
      <c r="G103" s="206"/>
    </row>
    <row r="104" spans="1:7" ht="14.4" hidden="1">
      <c r="A104" s="161"/>
      <c r="B104" s="161"/>
      <c r="C104" s="95"/>
      <c r="D104" s="95"/>
      <c r="E104" s="161"/>
      <c r="F104" s="161"/>
      <c r="G104" s="206"/>
    </row>
    <row r="105" spans="1:7" ht="14.4" hidden="1">
      <c r="A105" s="161"/>
      <c r="B105" s="161"/>
      <c r="C105" s="95"/>
      <c r="D105" s="95"/>
      <c r="E105" s="161"/>
      <c r="F105" s="161"/>
      <c r="G105" s="206"/>
    </row>
    <row r="106" spans="1:7" ht="14.4" hidden="1">
      <c r="A106" s="161"/>
      <c r="B106" s="161"/>
      <c r="C106" s="95"/>
      <c r="D106" s="95"/>
      <c r="E106" s="161"/>
      <c r="F106" s="161"/>
      <c r="G106" s="206"/>
    </row>
    <row r="107" spans="1:7" ht="14.4" hidden="1">
      <c r="A107" s="161"/>
      <c r="B107" s="161"/>
      <c r="C107" s="95"/>
      <c r="D107" s="95"/>
      <c r="E107" s="161"/>
      <c r="F107" s="161"/>
      <c r="G107" s="206"/>
    </row>
    <row r="108" spans="1:7" ht="14.4" hidden="1">
      <c r="A108" s="161"/>
      <c r="B108" s="161"/>
      <c r="C108" s="95"/>
      <c r="D108" s="95"/>
      <c r="E108" s="161"/>
      <c r="F108" s="161"/>
      <c r="G108" s="206"/>
    </row>
    <row r="109" spans="1:7" ht="14.4" hidden="1">
      <c r="A109" s="161"/>
      <c r="B109" s="161"/>
      <c r="C109" s="95"/>
      <c r="D109" s="95"/>
      <c r="E109" s="161"/>
      <c r="F109" s="161"/>
      <c r="G109" s="206"/>
    </row>
    <row r="110" spans="1:7" ht="14.4" hidden="1">
      <c r="C110"/>
      <c r="D110"/>
    </row>
    <row r="111" spans="1:7" ht="14.4" hidden="1">
      <c r="C111"/>
      <c r="D111"/>
    </row>
    <row r="112" spans="1:7" hidden="1"/>
    <row r="113" hidden="1"/>
    <row r="114" hidden="1"/>
    <row r="115" hidden="1"/>
    <row r="116" hidden="1"/>
    <row r="117" hidden="1"/>
  </sheetData>
  <sheetProtection algorithmName="SHA-512" hashValue="HY46Ne7sfK9p2a4TUTyiMMC7KBpD8NWBHfAGBcNnBBnD9wk9SGxn4b5ihQPN4UH9i8r9CtNRCbZKwBd5njB6Fg==" saltValue="KxOky4zk0xGEWnjJAKYEAg==" spinCount="100000" sheet="1" objects="1" scenarios="1" selectLockedCells="1"/>
  <mergeCells count="1">
    <mergeCell ref="B28:D28"/>
  </mergeCells>
  <conditionalFormatting sqref="D99">
    <cfRule type="expression" dxfId="4" priority="4">
      <formula>NO</formula>
    </cfRule>
    <cfRule type="expression" dxfId="3" priority="5">
      <formula>YES</formula>
    </cfRule>
  </conditionalFormatting>
  <dataValidations xWindow="1116" yWindow="819" count="39">
    <dataValidation type="list" allowBlank="1" showInputMessage="1" showErrorMessage="1" sqref="D12" xr:uid="{00000000-0002-0000-0200-000000000000}">
      <formula1>Fuels</formula1>
    </dataValidation>
    <dataValidation type="list" allowBlank="1" showInputMessage="1" showErrorMessage="1" sqref="D9" xr:uid="{00000000-0002-0000-0200-000001000000}">
      <formula1>First_Year</formula1>
    </dataValidation>
    <dataValidation type="list" allowBlank="1" showInputMessage="1" showErrorMessage="1" sqref="D10:D11" xr:uid="{00000000-0002-0000-0200-000002000000}">
      <formula1>Final_year</formula1>
    </dataValidation>
    <dataValidation type="list" allowBlank="1" showInputMessage="1" showErrorMessage="1" sqref="D13" xr:uid="{00000000-0002-0000-0200-000003000000}">
      <formula1>Position</formula1>
    </dataValidation>
    <dataValidation type="list" allowBlank="1" showInputMessage="1" showErrorMessage="1" sqref="D15" xr:uid="{00000000-0002-0000-0200-000004000000}">
      <formula1>Main_Type</formula1>
    </dataValidation>
    <dataValidation type="list" allowBlank="1" showInputMessage="1" showErrorMessage="1" sqref="D14" xr:uid="{00000000-0002-0000-0200-000005000000}">
      <formula1>Rating</formula1>
    </dataValidation>
    <dataValidation type="list" allowBlank="1" showInputMessage="1" showErrorMessage="1" sqref="D17" xr:uid="{00000000-0002-0000-0200-000006000000}">
      <formula1>Condensing</formula1>
    </dataValidation>
    <dataValidation type="list" allowBlank="1" showInputMessage="1" showErrorMessage="1" sqref="D18" xr:uid="{00000000-0002-0000-0200-000007000000}">
      <formula1>Flue_Type</formula1>
    </dataValidation>
    <dataValidation type="list" allowBlank="1" showInputMessage="1" showErrorMessage="1" sqref="D19" xr:uid="{00000000-0002-0000-0200-000008000000}">
      <formula1>Fan</formula1>
    </dataValidation>
    <dataValidation type="list" allowBlank="1" showInputMessage="1" showErrorMessage="1" sqref="D20" xr:uid="{00000000-0002-0000-0200-000009000000}">
      <formula1>Pilot</formula1>
    </dataValidation>
    <dataValidation type="list" allowBlank="1" showInputMessage="1" showErrorMessage="1" sqref="D21" xr:uid="{00000000-0002-0000-0200-00000A000000}">
      <formula1>Burner_Type</formula1>
    </dataValidation>
    <dataValidation type="list" allowBlank="1" showInputMessage="1" showErrorMessage="1" sqref="D43" xr:uid="{00000000-0002-0000-0200-00000B000000}">
      <formula1>LPG_Test</formula1>
    </dataValidation>
    <dataValidation type="list" allowBlank="1" showInputMessage="1" showErrorMessage="1" sqref="D46" xr:uid="{00000000-0002-0000-0200-00000C000000}">
      <formula1>Boiler_Type_BED</formula1>
    </dataValidation>
    <dataValidation type="list" allowBlank="1" showInputMessage="1" showErrorMessage="1" sqref="D58" xr:uid="{00000000-0002-0000-0200-00000D000000}">
      <formula1>Store_Type</formula1>
    </dataValidation>
    <dataValidation type="list" allowBlank="1" showInputMessage="1" showErrorMessage="1" sqref="D59" xr:uid="{00000000-0002-0000-0200-00000E000000}">
      <formula1>Store_Loss</formula1>
    </dataValidation>
    <dataValidation type="list" allowBlank="1" showInputMessage="1" showErrorMessage="1" sqref="D62" xr:uid="{00000000-0002-0000-0200-00000F000000}">
      <formula1>Store_Insulant</formula1>
    </dataValidation>
    <dataValidation type="list" allowBlank="1" showInputMessage="1" showErrorMessage="1" sqref="D65" xr:uid="{00000000-0002-0000-0200-000010000000}">
      <formula1>Separate_Store</formula1>
    </dataValidation>
    <dataValidation type="list" allowBlank="1" showInputMessage="1" showErrorMessage="1" sqref="D66" xr:uid="{00000000-0002-0000-0200-000011000000}">
      <formula1>Keep_Hot</formula1>
    </dataValidation>
    <dataValidation type="list" allowBlank="1" showInputMessage="1" showErrorMessage="1" sqref="D67" xr:uid="{00000000-0002-0000-0200-000012000000}">
      <formula1>Keep_Hot_Timer</formula1>
    </dataValidation>
    <dataValidation type="list" allowBlank="1" showInputMessage="1" showErrorMessage="1" sqref="D71" xr:uid="{00000000-0002-0000-0200-000013000000}">
      <formula1>DHW_Tests</formula1>
    </dataValidation>
    <dataValidation type="list" allowBlank="1" showInputMessage="1" showErrorMessage="1" sqref="D22 D90 D34 D82 D94" xr:uid="{00000000-0002-0000-0200-000014000000}">
      <formula1>YES_NO</formula1>
    </dataValidation>
    <dataValidation type="list" allowBlank="1" showInputMessage="1" showErrorMessage="1" sqref="D16" xr:uid="{00000000-0002-0000-0200-000015000000}">
      <formula1>PFGHRD</formula1>
    </dataValidation>
    <dataValidation type="list" allowBlank="1" showInputMessage="1" showErrorMessage="1" sqref="D39" xr:uid="{00000000-0002-0000-0200-000016000000}">
      <formula1>Basis</formula1>
    </dataValidation>
    <dataValidation type="textLength" operator="lessThanOrEqual" allowBlank="1" showInputMessage="1" showErrorMessage="1" sqref="D56" xr:uid="{00000000-0002-0000-0200-000017000000}">
      <formula1>A54</formula1>
    </dataValidation>
    <dataValidation type="textLength" operator="lessThanOrEqual" allowBlank="1" showInputMessage="1" showErrorMessage="1" sqref="D55" xr:uid="{00000000-0002-0000-0200-000018000000}">
      <formula1>A54</formula1>
    </dataValidation>
    <dataValidation type="textLength" operator="greaterThan" allowBlank="1" showInputMessage="1" showErrorMessage="1" sqref="E74" xr:uid="{00000000-0002-0000-0200-000019000000}">
      <formula1>A74</formula1>
    </dataValidation>
    <dataValidation type="decimal" allowBlank="1" showInputMessage="1" showErrorMessage="1" sqref="E40:E42" xr:uid="{00000000-0002-0000-0200-00001A000000}">
      <formula1>50</formula1>
      <formula2>112</formula2>
    </dataValidation>
    <dataValidation type="list" allowBlank="1" showInputMessage="1" showErrorMessage="1" sqref="D47" xr:uid="{00000000-0002-0000-0200-00001B000000}">
      <formula1>ErP_Class</formula1>
    </dataValidation>
    <dataValidation type="list" allowBlank="1" showInputMessage="1" showErrorMessage="1" sqref="D49" xr:uid="{00000000-0002-0000-0200-00001C000000}">
      <formula1>ErP_DHW_LoadProfile</formula1>
    </dataValidation>
    <dataValidation type="decimal" allowBlank="1" showInputMessage="1" showErrorMessage="1" sqref="D79" xr:uid="{00000000-0002-0000-0200-00001D000000}">
      <formula1>0</formula1>
      <formula2>20</formula2>
    </dataValidation>
    <dataValidation type="textLength" operator="lessThanOrEqual" allowBlank="1" showInputMessage="1" showErrorMessage="1" sqref="D35:D36 D61 D63:D64" xr:uid="{00000000-0002-0000-0200-00001E000000}">
      <formula1>A35</formula1>
    </dataValidation>
    <dataValidation type="textLength" operator="lessThan" allowBlank="1" showInputMessage="1" showErrorMessage="1" sqref="D69" xr:uid="{00000000-0002-0000-0200-00001F000000}">
      <formula1>A69</formula1>
    </dataValidation>
    <dataValidation type="textLength" operator="equal" allowBlank="1" showInputMessage="1" showErrorMessage="1" sqref="D24" xr:uid="{00000000-0002-0000-0200-000020000000}">
      <formula1>A24</formula1>
    </dataValidation>
    <dataValidation type="textLength" operator="lessThan" allowBlank="1" showInputMessage="1" showErrorMessage="1" sqref="D84:D86" xr:uid="{00000000-0002-0000-0200-000021000000}">
      <formula1>A89</formula1>
    </dataValidation>
    <dataValidation type="list" allowBlank="1" showInputMessage="1" showErrorMessage="1" sqref="D50" xr:uid="{00000000-0002-0000-0200-000022000000}">
      <formula1>ErP_Class_Water</formula1>
    </dataValidation>
    <dataValidation type="decimal" allowBlank="1" showInputMessage="1" showErrorMessage="1" errorTitle="Invalid entry" error="Must be daily consumption in kWh(gross) /day  taken from the ErP data, expressed to three decimal places between 5.845 and 100." prompt="Enter the seasonally adjusted daily consumption based on the GROSS Calorific Value in kWh." sqref="D52" xr:uid="{00000000-0002-0000-0200-000023000000}">
      <formula1>5.845</formula1>
      <formula2>100</formula2>
    </dataValidation>
    <dataValidation type="list" allowBlank="1" showInputMessage="1" showErrorMessage="1" sqref="D72" xr:uid="{00000000-0002-0000-0200-000024000000}">
      <formula1>DHW_Test_Standard</formula1>
    </dataValidation>
    <dataValidation allowBlank="1" showInputMessage="1" showErrorMessage="1" promptTitle="Model Qualifier" prompt="IMPORTANT!! Please ensure that the Model Qualifier is consistent with that used during previous applications for other boiler products. This includes where the name is split between the Model Name and the Model Qualifier. " sqref="D6" xr:uid="{00000000-0002-0000-0200-000025000000}"/>
    <dataValidation type="list" allowBlank="1" showInputMessage="1" showErrorMessage="1" sqref="D44" xr:uid="{00000000-0002-0000-0200-000026000000}">
      <formula1>LPG_Condense_Standard</formula1>
    </dataValidation>
  </dataValidations>
  <hyperlinks>
    <hyperlink ref="F24" r:id="rId1" xr:uid="{00000000-0004-0000-0200-000000000000}"/>
    <hyperlink ref="F25:F27" r:id="rId2" display="PCDB website" xr:uid="{00000000-0004-0000-0200-000001000000}"/>
  </hyperlinks>
  <pageMargins left="0.70866141732283472" right="0.70866141732283472" top="0.74803149606299213" bottom="0.74803149606299213" header="0.31496062992125984" footer="0.31496062992125984"/>
  <pageSetup paperSize="9" scale="67" fitToHeight="0" orientation="landscape" r:id="rId3"/>
  <extLst>
    <ext xmlns:x14="http://schemas.microsoft.com/office/spreadsheetml/2009/9/main" uri="{78C0D931-6437-407d-A8EE-F0AAD7539E65}">
      <x14:conditionalFormattings>
        <x14:conditionalFormatting xmlns:xm="http://schemas.microsoft.com/office/excel/2006/main">
          <x14:cfRule type="expression" priority="3" id="{A8F6B014-BAC5-42B4-A331-15ACFF1E8A7E}">
            <xm:f>OR(Tables!$Q$26="Fail",Tables!$Q$27="Fail")</xm:f>
            <x14:dxf>
              <fill>
                <patternFill>
                  <bgColor theme="1" tint="0.499984740745262"/>
                </patternFill>
              </fill>
            </x14:dxf>
          </x14:cfRule>
          <xm:sqref>A70:C70</xm:sqref>
        </x14:conditionalFormatting>
        <x14:conditionalFormatting xmlns:xm="http://schemas.microsoft.com/office/excel/2006/main">
          <x14:cfRule type="expression" priority="1" id="{FCF93BC4-F157-43B1-B211-7A94DD8CEED0}">
            <xm:f>Lists!$D$80</xm:f>
            <x14:dxf>
              <fill>
                <patternFill>
                  <bgColor rgb="FFFF0000"/>
                </patternFill>
              </fill>
            </x14:dxf>
          </x14:cfRule>
          <xm:sqref>D42</xm:sqref>
        </x14:conditionalFormatting>
      </x14:conditionalFormattings>
    </ext>
    <ext xmlns:x14="http://schemas.microsoft.com/office/spreadsheetml/2009/9/main" uri="{CCE6A557-97BC-4b89-ADB6-D9C93CAAB3DF}">
      <x14:dataValidations xmlns:xm="http://schemas.microsoft.com/office/excel/2006/main" xWindow="1116" yWindow="819" count="3">
        <x14:dataValidation type="textLength" operator="lessThan" allowBlank="1" showInputMessage="1" showErrorMessage="1" xr:uid="{00000000-0002-0000-0200-000027000000}">
          <x14:formula1>
            <xm:f>Lists!B4</xm:f>
          </x14:formula1>
          <xm:sqref>D87:D89</xm:sqref>
        </x14:dataValidation>
        <x14:dataValidation type="textLength" operator="lessThan" allowBlank="1" showInputMessage="1" showErrorMessage="1" xr:uid="{00000000-0002-0000-0200-000028000000}">
          <x14:formula1>
            <xm:f>Lists!B4</xm:f>
          </x14:formula1>
          <xm:sqref>D4 D7:D8</xm:sqref>
        </x14:dataValidation>
        <x14:dataValidation type="textLength" operator="lessThan" allowBlank="1" showInputMessage="1" showErrorMessage="1" promptTitle="Model Name" prompt="IMPORTANT!! Please ensure that the Model Name is consistent with that used during previous applications for other boiler products. This includes where the name is split between the Model Name and the Model Qualifier." xr:uid="{00000000-0002-0000-0200-000029000000}">
          <x14:formula1>
            <xm:f>Lists!B5</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7"/>
  <sheetViews>
    <sheetView topLeftCell="C1" zoomScaleNormal="100" workbookViewId="0">
      <selection activeCell="F26" sqref="F26"/>
    </sheetView>
  </sheetViews>
  <sheetFormatPr defaultRowHeight="14.4"/>
  <cols>
    <col min="2" max="2" width="31.44140625" bestFit="1" customWidth="1"/>
    <col min="5" max="5" width="10.44140625" customWidth="1"/>
    <col min="6" max="6" width="11.33203125" customWidth="1"/>
    <col min="7" max="7" width="9.5546875" bestFit="1" customWidth="1"/>
    <col min="8" max="8" width="10.5546875" bestFit="1" customWidth="1"/>
    <col min="9" max="10" width="9.5546875" bestFit="1" customWidth="1"/>
    <col min="14" max="14" width="10" customWidth="1"/>
  </cols>
  <sheetData>
    <row r="2" spans="2:19">
      <c r="B2" s="241"/>
      <c r="C2" s="242" t="s">
        <v>588</v>
      </c>
    </row>
    <row r="3" spans="2:19">
      <c r="B3" s="243" t="s">
        <v>480</v>
      </c>
      <c r="C3" s="244">
        <v>5.8449999999999998</v>
      </c>
    </row>
    <row r="4" spans="2:19">
      <c r="B4" s="243" t="s">
        <v>481</v>
      </c>
      <c r="C4" s="244">
        <v>11.654999999999999</v>
      </c>
    </row>
    <row r="5" spans="2:19">
      <c r="B5" s="243" t="s">
        <v>583</v>
      </c>
      <c r="C5" s="244">
        <v>19.07</v>
      </c>
      <c r="H5" s="213"/>
    </row>
    <row r="6" spans="2:19">
      <c r="B6" s="245" t="s">
        <v>584</v>
      </c>
      <c r="C6" s="246">
        <v>24.53</v>
      </c>
    </row>
    <row r="9" spans="2:19" ht="60" customHeight="1">
      <c r="B9" s="247" t="s">
        <v>589</v>
      </c>
      <c r="C9" s="248" t="s">
        <v>66</v>
      </c>
      <c r="D9" s="248" t="s">
        <v>590</v>
      </c>
      <c r="E9" s="248" t="s">
        <v>591</v>
      </c>
      <c r="F9" s="248" t="s">
        <v>592</v>
      </c>
      <c r="G9" s="248" t="s">
        <v>593</v>
      </c>
      <c r="H9" s="248" t="s">
        <v>594</v>
      </c>
      <c r="I9" s="248" t="s">
        <v>595</v>
      </c>
      <c r="J9" s="249" t="s">
        <v>596</v>
      </c>
      <c r="L9" s="300" t="s">
        <v>617</v>
      </c>
      <c r="M9" s="301"/>
      <c r="N9" s="301"/>
      <c r="O9" s="302"/>
    </row>
    <row r="10" spans="2:19">
      <c r="B10" s="252" t="s">
        <v>279</v>
      </c>
      <c r="C10" s="226" t="s">
        <v>597</v>
      </c>
      <c r="D10" s="253">
        <f>34.02/37.78</f>
        <v>0.90047644256220227</v>
      </c>
      <c r="E10" s="267">
        <f>E18</f>
        <v>0.86</v>
      </c>
      <c r="F10" s="267">
        <f>G18</f>
        <v>0.89</v>
      </c>
      <c r="G10" s="254">
        <f>I10/D10</f>
        <v>0.98056979423868307</v>
      </c>
      <c r="H10" s="254">
        <f>J10/D10</f>
        <v>1.0806279365079363</v>
      </c>
      <c r="I10" s="254">
        <f>0.88298</f>
        <v>0.88297999999999999</v>
      </c>
      <c r="J10" s="255">
        <f>0.97308</f>
        <v>0.97307999999999995</v>
      </c>
      <c r="L10" s="252"/>
      <c r="M10" s="256" t="s">
        <v>598</v>
      </c>
      <c r="N10" s="226" t="s">
        <v>599</v>
      </c>
      <c r="O10" s="257" t="s">
        <v>600</v>
      </c>
      <c r="R10" s="258"/>
      <c r="S10" s="258"/>
    </row>
    <row r="11" spans="2:19">
      <c r="B11" s="252" t="s">
        <v>280</v>
      </c>
      <c r="C11" s="226" t="s">
        <v>601</v>
      </c>
      <c r="D11" s="253">
        <f>88/95.65</f>
        <v>0.92002090956612648</v>
      </c>
      <c r="E11" s="267">
        <f>E21</f>
        <v>0.8417305873718659</v>
      </c>
      <c r="F11" s="267">
        <f>G21</f>
        <v>0.87109328228018679</v>
      </c>
      <c r="G11" s="254">
        <f>I11/D11</f>
        <v>0.98104292045454555</v>
      </c>
      <c r="H11" s="254">
        <f>J11/D11</f>
        <v>1.0611280568181818</v>
      </c>
      <c r="I11" s="254">
        <v>0.90258000000000005</v>
      </c>
      <c r="J11" s="255">
        <v>0.97626000000000002</v>
      </c>
      <c r="L11" s="259" t="s">
        <v>602</v>
      </c>
      <c r="M11" s="226">
        <v>88.298000000000002</v>
      </c>
      <c r="N11" s="226">
        <v>90.257999999999996</v>
      </c>
      <c r="O11" s="257">
        <v>91.825999999999993</v>
      </c>
      <c r="Q11" s="258"/>
    </row>
    <row r="12" spans="2:19">
      <c r="B12" s="252" t="s">
        <v>281</v>
      </c>
      <c r="C12" s="226" t="s">
        <v>603</v>
      </c>
      <c r="D12" s="253">
        <f>1/1.067</f>
        <v>0.93720712277413309</v>
      </c>
      <c r="E12" s="267">
        <f>MIN(E20,E19)</f>
        <v>0.8208743250397037</v>
      </c>
      <c r="F12" s="267">
        <f>MIN(G20,G19)</f>
        <v>0.84950947591318171</v>
      </c>
      <c r="G12" s="254">
        <f>I12/D12</f>
        <v>0.97978341999999996</v>
      </c>
      <c r="H12" s="254">
        <f>J12/D12</f>
        <v>1.03977016</v>
      </c>
      <c r="I12" s="254">
        <v>0.91825999999999997</v>
      </c>
      <c r="J12" s="255">
        <v>0.97448000000000001</v>
      </c>
      <c r="L12" s="259" t="s">
        <v>604</v>
      </c>
      <c r="M12" s="226">
        <v>97.308000000000007</v>
      </c>
      <c r="N12" s="226">
        <v>97.626000000000005</v>
      </c>
      <c r="O12" s="257">
        <v>97.447999999999993</v>
      </c>
    </row>
    <row r="13" spans="2:19">
      <c r="B13" s="260">
        <v>4.2</v>
      </c>
      <c r="C13" s="261" t="s">
        <v>605</v>
      </c>
      <c r="D13" s="262">
        <f>1/1.06</f>
        <v>0.94339622641509424</v>
      </c>
      <c r="E13" s="269">
        <f>MIN(E20,E19)</f>
        <v>0.8208743250397037</v>
      </c>
      <c r="F13" s="269">
        <f>MIN(G20,G19)</f>
        <v>0.84950947591318171</v>
      </c>
      <c r="G13" s="263">
        <f>I13/D13</f>
        <v>0.9733556000000001</v>
      </c>
      <c r="H13" s="263">
        <f>J13/D13</f>
        <v>1.0329488000000002</v>
      </c>
      <c r="I13" s="263">
        <v>0.91825999999999997</v>
      </c>
      <c r="J13" s="264">
        <v>0.97448000000000001</v>
      </c>
      <c r="L13" s="260"/>
      <c r="M13" s="261"/>
      <c r="N13" s="261"/>
      <c r="O13" s="265"/>
    </row>
    <row r="14" spans="2:19">
      <c r="D14" t="s">
        <v>606</v>
      </c>
      <c r="F14" t="s">
        <v>607</v>
      </c>
      <c r="J14" t="s">
        <v>608</v>
      </c>
    </row>
    <row r="16" spans="2:19">
      <c r="B16" s="266" t="s">
        <v>609</v>
      </c>
      <c r="C16" s="250"/>
      <c r="D16" s="250"/>
      <c r="E16" s="250" t="s">
        <v>610</v>
      </c>
      <c r="F16" s="250"/>
      <c r="G16" s="250" t="s">
        <v>611</v>
      </c>
      <c r="H16" s="251"/>
    </row>
    <row r="17" spans="1:17">
      <c r="B17" s="252"/>
      <c r="C17" s="226"/>
      <c r="D17" s="226" t="s">
        <v>606</v>
      </c>
      <c r="E17" s="226" t="s">
        <v>612</v>
      </c>
      <c r="F17" s="226" t="s">
        <v>613</v>
      </c>
      <c r="G17" s="226" t="s">
        <v>612</v>
      </c>
      <c r="H17" s="268" t="s">
        <v>613</v>
      </c>
    </row>
    <row r="18" spans="1:17">
      <c r="B18" s="252" t="s">
        <v>597</v>
      </c>
      <c r="C18" s="226"/>
      <c r="D18" s="226">
        <f>34.02/37.78</f>
        <v>0.90047644256220227</v>
      </c>
      <c r="E18" s="267">
        <v>0.86</v>
      </c>
      <c r="F18" s="267">
        <f>D18*$E18</f>
        <v>0.77440974060349399</v>
      </c>
      <c r="G18" s="267">
        <v>0.89</v>
      </c>
      <c r="H18" s="268">
        <f>G18*$D18</f>
        <v>0.80142403388035999</v>
      </c>
    </row>
    <row r="19" spans="1:17">
      <c r="B19" s="252" t="s">
        <v>614</v>
      </c>
      <c r="C19" s="226"/>
      <c r="D19" s="226">
        <f>1/1.06</f>
        <v>0.94339622641509424</v>
      </c>
      <c r="E19" s="267">
        <f>F19/$D19</f>
        <v>0.8208743250397037</v>
      </c>
      <c r="F19" s="267">
        <f>F18</f>
        <v>0.77440974060349399</v>
      </c>
      <c r="G19" s="267">
        <f>H19/$D19</f>
        <v>0.84950947591318171</v>
      </c>
      <c r="H19" s="268">
        <f>H18</f>
        <v>0.80142403388035999</v>
      </c>
    </row>
    <row r="20" spans="1:17">
      <c r="B20" s="252" t="s">
        <v>615</v>
      </c>
      <c r="C20" s="226"/>
      <c r="D20" s="226">
        <f>1/1.067</f>
        <v>0.93720712277413309</v>
      </c>
      <c r="E20" s="267">
        <f>F20/$D20</f>
        <v>0.82629519322392808</v>
      </c>
      <c r="F20" s="267">
        <f>F18</f>
        <v>0.77440974060349399</v>
      </c>
      <c r="G20" s="267">
        <f>H20/$D20</f>
        <v>0.85511944415034413</v>
      </c>
      <c r="H20" s="268">
        <f>H18</f>
        <v>0.80142403388035999</v>
      </c>
    </row>
    <row r="21" spans="1:17">
      <c r="B21" s="260" t="s">
        <v>601</v>
      </c>
      <c r="C21" s="261"/>
      <c r="D21" s="261">
        <f>88/95.65</f>
        <v>0.92002090956612648</v>
      </c>
      <c r="E21" s="269">
        <f>F21/$D21</f>
        <v>0.8417305873718659</v>
      </c>
      <c r="F21" s="269">
        <f>F18</f>
        <v>0.77440974060349399</v>
      </c>
      <c r="G21" s="269">
        <f>H21/$D21</f>
        <v>0.87109328228018679</v>
      </c>
      <c r="H21" s="270">
        <f>H18</f>
        <v>0.80142403388035999</v>
      </c>
    </row>
    <row r="24" spans="1:17">
      <c r="B24" t="s">
        <v>616</v>
      </c>
    </row>
    <row r="25" spans="1:17" ht="28.8">
      <c r="B25" s="77" t="s">
        <v>630</v>
      </c>
      <c r="C25" t="s">
        <v>618</v>
      </c>
      <c r="D25" t="s">
        <v>619</v>
      </c>
      <c r="E25" s="77" t="s">
        <v>620</v>
      </c>
      <c r="F25" s="77" t="s">
        <v>621</v>
      </c>
      <c r="G25" s="77" t="s">
        <v>622</v>
      </c>
      <c r="H25" s="77" t="s">
        <v>623</v>
      </c>
      <c r="I25" s="77" t="s">
        <v>624</v>
      </c>
      <c r="J25" s="77" t="s">
        <v>625</v>
      </c>
      <c r="K25" s="77" t="s">
        <v>626</v>
      </c>
      <c r="L25" s="77" t="s">
        <v>627</v>
      </c>
      <c r="M25" s="77" t="s">
        <v>628</v>
      </c>
      <c r="N25" s="77" t="s">
        <v>629</v>
      </c>
      <c r="O25" s="77" t="s">
        <v>631</v>
      </c>
      <c r="P25" s="77" t="s">
        <v>633</v>
      </c>
      <c r="Q25" s="77" t="s">
        <v>632</v>
      </c>
    </row>
    <row r="26" spans="1:17">
      <c r="A26" t="s">
        <v>480</v>
      </c>
      <c r="B26" s="276" t="e">
        <f>C3/'Submission Form'!D74</f>
        <v>#DIV/0!</v>
      </c>
      <c r="C26" t="e">
        <f>VLOOKUP('Submission Form'!D$12,Tables!$B$9:$H$13,3,FALSE)</f>
        <v>#N/A</v>
      </c>
      <c r="D26" s="271" t="e">
        <f>'Submission Form'!D40/IF('Submission Form'!D$39="NET",1,C26)</f>
        <v>#N/A</v>
      </c>
      <c r="E26" s="272" t="e">
        <f>VLOOKUP('Submission Form'!D$49,Tables!$B$3:$C$6,2,FALSE)</f>
        <v>#N/A</v>
      </c>
      <c r="F26" s="273" t="e">
        <f>ErP_Qfuel*C26</f>
        <v>#N/A</v>
      </c>
      <c r="G26" s="272">
        <f t="shared" ref="G26:G27" si="0">165/365</f>
        <v>0.45205479452054792</v>
      </c>
      <c r="H26" s="272">
        <f t="shared" ref="H26:H27" si="1">200/365</f>
        <v>0.54794520547945202</v>
      </c>
      <c r="I26" s="274" t="e">
        <f t="shared" ref="I26:I27" si="2">G26*D26/E26</f>
        <v>#N/A</v>
      </c>
      <c r="J26" s="274" t="e">
        <f t="shared" ref="J26:J27" si="3">1+H26-F26*D26/E26</f>
        <v>#N/A</v>
      </c>
      <c r="K26" s="274" t="e">
        <f t="shared" ref="K26:K27" si="4">-F26</f>
        <v>#N/A</v>
      </c>
      <c r="L26" s="272" t="e">
        <f t="shared" ref="L26:L27" si="5">(-J26+SQRT(J26^2-4*I26*K26))/(2*I26)</f>
        <v>#N/A</v>
      </c>
      <c r="M26" s="275" t="e">
        <f t="shared" ref="M26:M27" si="6">E26/L26</f>
        <v>#N/A</v>
      </c>
      <c r="N26" s="275" t="e">
        <f>Tables!$C$3/(Tables!$C$3/D26+E26/M26-E26/D26)</f>
        <v>#N/A</v>
      </c>
      <c r="O26" s="275" t="e">
        <f>MIN(IF(OR('Submission Form'!D49="M",'Submission Form'!D49="L"),1.028,1.07)*N26,VLOOKUP('Submission Form'!D12,Tables!$B$9:$J$13,IF('Submission Form'!D16="Normal",6,7),FALSE))</f>
        <v>#N/A</v>
      </c>
      <c r="P26" s="275" t="e">
        <f>AND(OR('Submission Form'!$D71=Lists!E171,'Submission Form'!$D71=Lists!E172,'Submission Form'!$D71=Lists!E173),B26&gt;VLOOKUP('Submission Form'!$D12,$B10:$J12,4))</f>
        <v>#DIV/0!</v>
      </c>
      <c r="Q26" s="272" t="e">
        <f>IF(P26,IF(B26&lt;O26,"Pass","Fail"),"NN")</f>
        <v>#DIV/0!</v>
      </c>
    </row>
    <row r="27" spans="1:17">
      <c r="A27" t="s">
        <v>481</v>
      </c>
      <c r="B27" s="276">
        <f>IF('Submission Form'!D78&gt;0,C4/'Submission Form'!D78,-999)</f>
        <v>-999</v>
      </c>
      <c r="C27" t="e">
        <f>VLOOKUP('Submission Form'!D$12,Tables!$B$9:$H$13,3,FALSE)</f>
        <v>#N/A</v>
      </c>
      <c r="D27" s="271" t="e">
        <f>'Submission Form'!D40/IF('Submission Form'!D$39="NET",1,C27)</f>
        <v>#N/A</v>
      </c>
      <c r="E27" s="272" t="e">
        <f>VLOOKUP('Submission Form'!D$49,Tables!$B$3:$C$6,2,FALSE)</f>
        <v>#N/A</v>
      </c>
      <c r="F27" s="273" t="e">
        <f>ErP_Qfuel*C26</f>
        <v>#N/A</v>
      </c>
      <c r="G27" s="272">
        <f t="shared" si="0"/>
        <v>0.45205479452054792</v>
      </c>
      <c r="H27" s="272">
        <f t="shared" si="1"/>
        <v>0.54794520547945202</v>
      </c>
      <c r="I27" s="274" t="e">
        <f t="shared" si="2"/>
        <v>#N/A</v>
      </c>
      <c r="J27" s="274" t="e">
        <f t="shared" si="3"/>
        <v>#N/A</v>
      </c>
      <c r="K27" s="274" t="e">
        <f t="shared" si="4"/>
        <v>#N/A</v>
      </c>
      <c r="L27" s="272" t="e">
        <f t="shared" si="5"/>
        <v>#N/A</v>
      </c>
      <c r="M27" s="275" t="e">
        <f t="shared" si="6"/>
        <v>#N/A</v>
      </c>
      <c r="N27" s="275" t="e">
        <f>Tables!$C$4/(Tables!$C$4/D27+E27/M27-E27/D27)</f>
        <v>#N/A</v>
      </c>
      <c r="O27" s="275" t="e">
        <f>MIN(IF(OR('Submission Form'!D49="M",'Submission Form'!D49="L"),1.028,1.07)*N27,VLOOKUP('Submission Form'!D12,Tables!$B$9:$J$13,IF('Submission Form'!D16="Normal",6,7),FALSE))</f>
        <v>#N/A</v>
      </c>
      <c r="P27" s="275" t="b">
        <f>AND('Submission Form'!$D71=Lists!E172,B27&gt;VLOOKUP('Submission Form'!$D12,$B10:$J12,5))</f>
        <v>0</v>
      </c>
      <c r="Q27" s="272" t="str">
        <f>IF(P27,IF(B27&lt;O27,"Pass","Fail"),"NN")</f>
        <v>NN</v>
      </c>
    </row>
  </sheetData>
  <sheetProtection algorithmName="SHA-512" hashValue="YoETde4j0FTv+EBNXHqdZ99bPCBPBMu4/RF9WkslQFizA5MnLqLzzD9BEM100+FTRzX41AkWI0LOof/7VodvsA==" saltValue="eewBUKtI0WlQnR0gh8X00w==" spinCount="100000" sheet="1" objects="1" scenarios="1"/>
  <mergeCells count="1">
    <mergeCell ref="L9:O9"/>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M215"/>
  <sheetViews>
    <sheetView topLeftCell="A87" zoomScale="70" zoomScaleNormal="70" workbookViewId="0">
      <selection activeCell="E96" sqref="E96"/>
    </sheetView>
  </sheetViews>
  <sheetFormatPr defaultColWidth="9.109375" defaultRowHeight="13.2"/>
  <cols>
    <col min="1" max="1" width="9.109375" style="30"/>
    <col min="2" max="2" width="11.109375" style="30" customWidth="1"/>
    <col min="3" max="3" width="19.109375" style="30" customWidth="1"/>
    <col min="4" max="4" width="45.109375" style="30" customWidth="1"/>
    <col min="5" max="5" width="35.44140625" style="64" customWidth="1"/>
    <col min="6" max="6" width="35.44140625" style="59" customWidth="1"/>
    <col min="7" max="7" width="77.6640625" style="30" customWidth="1"/>
    <col min="8" max="8" width="9.109375" style="30"/>
    <col min="9" max="9" width="43.6640625" style="30" customWidth="1"/>
    <col min="10" max="16384" width="9.109375" style="30"/>
  </cols>
  <sheetData>
    <row r="1" spans="1:13" ht="13.8" thickBot="1">
      <c r="A1" s="30" t="s">
        <v>48</v>
      </c>
    </row>
    <row r="2" spans="1:13" ht="13.8" thickBot="1">
      <c r="A2" s="31" t="s">
        <v>49</v>
      </c>
      <c r="B2" s="32"/>
      <c r="C2" s="32"/>
      <c r="D2" s="32"/>
      <c r="E2" s="65" t="s">
        <v>205</v>
      </c>
      <c r="F2" s="60" t="s">
        <v>54</v>
      </c>
    </row>
    <row r="3" spans="1:13" ht="92.4">
      <c r="A3" s="33" t="s">
        <v>50</v>
      </c>
      <c r="B3" s="34" t="s">
        <v>51</v>
      </c>
      <c r="C3" s="303" t="s">
        <v>52</v>
      </c>
      <c r="D3" s="304"/>
      <c r="E3" s="35"/>
      <c r="F3" s="61"/>
    </row>
    <row r="4" spans="1:13" ht="26.4">
      <c r="A4" s="36" t="s">
        <v>55</v>
      </c>
      <c r="B4" s="12">
        <v>51</v>
      </c>
      <c r="C4" s="16" t="s">
        <v>56</v>
      </c>
      <c r="D4" s="16" t="s">
        <v>57</v>
      </c>
      <c r="E4"/>
      <c r="F4"/>
    </row>
    <row r="5" spans="1:13" ht="14.4">
      <c r="A5" s="37" t="s">
        <v>58</v>
      </c>
      <c r="B5" s="14">
        <v>51</v>
      </c>
      <c r="C5" s="15" t="s">
        <v>59</v>
      </c>
      <c r="D5"/>
      <c r="E5"/>
      <c r="F5"/>
    </row>
    <row r="6" spans="1:13" ht="14.4">
      <c r="A6" s="36">
        <v>8</v>
      </c>
      <c r="B6" s="12">
        <v>31</v>
      </c>
      <c r="C6" s="16" t="s">
        <v>60</v>
      </c>
      <c r="D6"/>
      <c r="E6"/>
      <c r="F6"/>
    </row>
    <row r="7" spans="1:13" ht="14.4">
      <c r="A7" s="37">
        <v>9</v>
      </c>
      <c r="B7" s="14">
        <v>41</v>
      </c>
      <c r="C7" s="15" t="s">
        <v>61</v>
      </c>
      <c r="D7"/>
      <c r="E7"/>
      <c r="F7"/>
    </row>
    <row r="8" spans="1:13" ht="26.4">
      <c r="A8" s="36">
        <v>10</v>
      </c>
      <c r="B8" s="12">
        <v>5</v>
      </c>
      <c r="C8" s="16" t="s">
        <v>62</v>
      </c>
      <c r="D8"/>
      <c r="E8"/>
      <c r="F8"/>
      <c r="G8" s="38" t="s">
        <v>350</v>
      </c>
    </row>
    <row r="9" spans="1:13" ht="26.4">
      <c r="A9" s="37" t="s">
        <v>63</v>
      </c>
      <c r="B9" s="14">
        <v>9</v>
      </c>
      <c r="C9" s="15" t="s">
        <v>64</v>
      </c>
      <c r="D9"/>
      <c r="E9"/>
      <c r="F9"/>
      <c r="G9" s="38" t="s">
        <v>350</v>
      </c>
    </row>
    <row r="10" spans="1:13" ht="39.6">
      <c r="A10" s="36" t="s">
        <v>65</v>
      </c>
      <c r="B10" s="12">
        <v>1</v>
      </c>
      <c r="C10" s="16" t="s">
        <v>66</v>
      </c>
      <c r="D10" s="17" t="s">
        <v>67</v>
      </c>
      <c r="E10" s="1" t="s">
        <v>68</v>
      </c>
      <c r="F10" s="11" t="s">
        <v>54</v>
      </c>
      <c r="G10" s="30" t="s">
        <v>385</v>
      </c>
      <c r="H10" s="39" t="s">
        <v>300</v>
      </c>
      <c r="I10" s="39" t="s">
        <v>301</v>
      </c>
      <c r="J10" s="39" t="s">
        <v>302</v>
      </c>
      <c r="K10" s="39" t="s">
        <v>303</v>
      </c>
      <c r="L10" s="39" t="s">
        <v>304</v>
      </c>
      <c r="M10" s="39" t="s">
        <v>305</v>
      </c>
    </row>
    <row r="11" spans="1:13" ht="14.4">
      <c r="A11"/>
      <c r="B11"/>
      <c r="C11"/>
      <c r="D11"/>
      <c r="E11" s="19" t="s">
        <v>208</v>
      </c>
      <c r="F11" s="75" t="s">
        <v>218</v>
      </c>
      <c r="H11" s="40" t="s">
        <v>306</v>
      </c>
      <c r="I11" s="40" t="s">
        <v>307</v>
      </c>
      <c r="J11" s="41" t="b">
        <v>1</v>
      </c>
      <c r="K11" s="41" t="b">
        <v>0</v>
      </c>
      <c r="L11" s="41" t="b">
        <v>1</v>
      </c>
      <c r="M11" s="41" t="b">
        <v>1</v>
      </c>
    </row>
    <row r="12" spans="1:13" ht="14.4">
      <c r="A12"/>
      <c r="B12"/>
      <c r="C12"/>
      <c r="D12"/>
      <c r="E12" s="19" t="s">
        <v>279</v>
      </c>
      <c r="F12" s="12">
        <v>1</v>
      </c>
      <c r="G12" s="64">
        <v>0.90100000000000002</v>
      </c>
      <c r="H12" s="40" t="s">
        <v>308</v>
      </c>
      <c r="I12" s="40" t="s">
        <v>309</v>
      </c>
      <c r="J12" s="41" t="b">
        <v>0</v>
      </c>
      <c r="K12" s="41" t="b">
        <v>0</v>
      </c>
      <c r="L12" s="41" t="b">
        <v>0</v>
      </c>
      <c r="M12" s="41" t="b">
        <v>0</v>
      </c>
    </row>
    <row r="13" spans="1:13" ht="14.4">
      <c r="A13"/>
      <c r="B13"/>
      <c r="C13"/>
      <c r="D13"/>
      <c r="E13" s="19" t="s">
        <v>280</v>
      </c>
      <c r="F13" s="12">
        <v>2</v>
      </c>
      <c r="G13" s="64">
        <v>0.92100000000000004</v>
      </c>
      <c r="H13" s="40" t="s">
        <v>310</v>
      </c>
      <c r="I13" s="40" t="s">
        <v>311</v>
      </c>
      <c r="J13" s="41" t="b">
        <v>0</v>
      </c>
      <c r="K13" s="41" t="b">
        <v>1</v>
      </c>
      <c r="L13" s="41" t="b">
        <v>0</v>
      </c>
      <c r="M13" s="41" t="b">
        <v>1</v>
      </c>
    </row>
    <row r="14" spans="1:13" ht="14.4">
      <c r="A14"/>
      <c r="B14"/>
      <c r="C14"/>
      <c r="D14"/>
      <c r="E14" s="19" t="s">
        <v>281</v>
      </c>
      <c r="F14" s="12">
        <v>4</v>
      </c>
      <c r="G14" s="64">
        <v>0.93700000000000006</v>
      </c>
      <c r="H14" s="40" t="s">
        <v>312</v>
      </c>
      <c r="I14" s="40" t="s">
        <v>313</v>
      </c>
      <c r="J14" s="41" t="b">
        <v>0</v>
      </c>
      <c r="K14" s="41" t="b">
        <v>1</v>
      </c>
      <c r="L14" s="41" t="b">
        <v>0</v>
      </c>
      <c r="M14" s="41" t="b">
        <v>1</v>
      </c>
    </row>
    <row r="15" spans="1:13" ht="39.6">
      <c r="A15"/>
      <c r="B15" s="103">
        <v>60</v>
      </c>
      <c r="C15" s="112" t="s">
        <v>454</v>
      </c>
      <c r="D15"/>
      <c r="E15"/>
      <c r="F15"/>
      <c r="H15" s="40" t="s">
        <v>314</v>
      </c>
      <c r="I15" s="40" t="s">
        <v>315</v>
      </c>
      <c r="J15" s="41" t="b">
        <v>0</v>
      </c>
      <c r="K15" s="41" t="b">
        <v>0</v>
      </c>
      <c r="L15" s="41" t="b">
        <v>0</v>
      </c>
      <c r="M15" s="41" t="b">
        <v>1</v>
      </c>
    </row>
    <row r="16" spans="1:13" ht="26.4">
      <c r="A16"/>
      <c r="B16" s="103">
        <v>60</v>
      </c>
      <c r="C16" s="112" t="s">
        <v>428</v>
      </c>
      <c r="D16"/>
      <c r="E16"/>
      <c r="F16"/>
      <c r="H16" s="40" t="s">
        <v>316</v>
      </c>
      <c r="I16" s="40" t="s">
        <v>317</v>
      </c>
      <c r="J16" s="41" t="b">
        <v>0</v>
      </c>
      <c r="K16" s="41" t="b">
        <v>0</v>
      </c>
      <c r="L16" s="41" t="b">
        <v>0</v>
      </c>
      <c r="M16" s="41" t="b">
        <v>1</v>
      </c>
    </row>
    <row r="17" spans="1:13" ht="26.4">
      <c r="A17"/>
      <c r="B17" s="103">
        <v>100</v>
      </c>
      <c r="C17" s="104" t="s">
        <v>455</v>
      </c>
      <c r="D17"/>
      <c r="E17"/>
      <c r="F17"/>
      <c r="H17" s="40" t="s">
        <v>318</v>
      </c>
      <c r="I17" s="40" t="s">
        <v>319</v>
      </c>
      <c r="J17" s="41" t="b">
        <v>0</v>
      </c>
      <c r="K17" s="41" t="b">
        <v>1</v>
      </c>
      <c r="L17" s="41" t="b">
        <v>0</v>
      </c>
      <c r="M17" s="41" t="b">
        <v>0</v>
      </c>
    </row>
    <row r="18" spans="1:13" ht="14.4">
      <c r="A18"/>
      <c r="B18" s="103">
        <v>35</v>
      </c>
      <c r="C18" s="112" t="s">
        <v>429</v>
      </c>
      <c r="D18"/>
      <c r="E18"/>
      <c r="F18"/>
      <c r="H18" s="40" t="s">
        <v>320</v>
      </c>
      <c r="I18" s="40" t="s">
        <v>321</v>
      </c>
      <c r="J18" s="41" t="b">
        <v>1</v>
      </c>
      <c r="K18" s="41" t="b">
        <v>0</v>
      </c>
      <c r="L18" s="41" t="b">
        <v>1</v>
      </c>
      <c r="M18" s="41" t="b">
        <v>1</v>
      </c>
    </row>
    <row r="19" spans="1:13" ht="14.4">
      <c r="A19"/>
      <c r="B19" s="103">
        <v>30</v>
      </c>
      <c r="C19" s="104" t="s">
        <v>430</v>
      </c>
      <c r="D19"/>
      <c r="E19"/>
      <c r="F19"/>
      <c r="H19" s="40" t="s">
        <v>322</v>
      </c>
      <c r="I19" s="40" t="s">
        <v>323</v>
      </c>
      <c r="J19" s="41" t="b">
        <v>0</v>
      </c>
      <c r="K19" s="41" t="b">
        <v>1</v>
      </c>
      <c r="L19" s="41" t="b">
        <v>0</v>
      </c>
      <c r="M19" s="41" t="b">
        <v>1</v>
      </c>
    </row>
    <row r="20" spans="1:13" ht="26.4">
      <c r="A20"/>
      <c r="B20" s="103">
        <v>30</v>
      </c>
      <c r="C20" s="112" t="s">
        <v>431</v>
      </c>
      <c r="D20"/>
      <c r="E20"/>
      <c r="F20"/>
      <c r="H20" s="40" t="s">
        <v>324</v>
      </c>
      <c r="I20" s="40" t="s">
        <v>325</v>
      </c>
      <c r="J20" s="41" t="b">
        <v>0</v>
      </c>
      <c r="K20" s="41" t="b">
        <v>1</v>
      </c>
      <c r="L20" s="41" t="b">
        <v>0</v>
      </c>
      <c r="M20" s="41" t="b">
        <v>1</v>
      </c>
    </row>
    <row r="21" spans="1:13" ht="14.4">
      <c r="A21"/>
      <c r="B21" s="103">
        <v>20</v>
      </c>
      <c r="C21" s="104" t="s">
        <v>432</v>
      </c>
      <c r="D21"/>
      <c r="E21"/>
      <c r="F21"/>
      <c r="H21" s="40" t="s">
        <v>326</v>
      </c>
      <c r="I21" s="40" t="s">
        <v>327</v>
      </c>
      <c r="J21" s="41" t="b">
        <v>0</v>
      </c>
      <c r="K21" s="41" t="b">
        <v>0</v>
      </c>
      <c r="L21" s="41" t="b">
        <v>0</v>
      </c>
      <c r="M21" s="41" t="b">
        <v>0</v>
      </c>
    </row>
    <row r="22" spans="1:13" ht="14.4">
      <c r="A22"/>
      <c r="B22" s="103">
        <v>30</v>
      </c>
      <c r="C22" s="104" t="s">
        <v>433</v>
      </c>
      <c r="D22"/>
      <c r="E22"/>
      <c r="F22"/>
      <c r="H22" s="40" t="s">
        <v>328</v>
      </c>
      <c r="I22" s="40" t="s">
        <v>329</v>
      </c>
      <c r="J22" s="41" t="b">
        <v>0</v>
      </c>
      <c r="K22" s="41" t="b">
        <v>1</v>
      </c>
      <c r="L22" s="41" t="b">
        <v>0</v>
      </c>
      <c r="M22" s="41" t="b">
        <v>1</v>
      </c>
    </row>
    <row r="23" spans="1:13" ht="14.4">
      <c r="A23"/>
      <c r="B23" s="103">
        <v>25</v>
      </c>
      <c r="C23" s="112" t="s">
        <v>435</v>
      </c>
      <c r="D23"/>
      <c r="E23"/>
      <c r="F23"/>
      <c r="H23" s="40" t="s">
        <v>330</v>
      </c>
      <c r="I23" s="40" t="s">
        <v>331</v>
      </c>
      <c r="J23" s="41" t="b">
        <v>1</v>
      </c>
      <c r="K23" s="41" t="b">
        <v>0</v>
      </c>
      <c r="L23" s="41" t="b">
        <v>0</v>
      </c>
      <c r="M23" s="41" t="b">
        <v>0</v>
      </c>
    </row>
    <row r="24" spans="1:13" ht="14.4">
      <c r="A24"/>
      <c r="B24" s="103">
        <v>75</v>
      </c>
      <c r="C24" s="112" t="s">
        <v>436</v>
      </c>
      <c r="D24"/>
      <c r="E24"/>
      <c r="F24"/>
      <c r="H24" s="40" t="s">
        <v>332</v>
      </c>
      <c r="I24" s="40" t="s">
        <v>333</v>
      </c>
      <c r="J24" s="41" t="b">
        <v>1</v>
      </c>
      <c r="K24" s="41" t="b">
        <v>0</v>
      </c>
      <c r="L24" s="41" t="b">
        <v>1</v>
      </c>
      <c r="M24" s="41" t="b">
        <v>1</v>
      </c>
    </row>
    <row r="25" spans="1:13" ht="14.4">
      <c r="A25"/>
      <c r="B25"/>
      <c r="C25"/>
      <c r="D25"/>
      <c r="E25"/>
      <c r="F25"/>
      <c r="H25" s="40" t="s">
        <v>334</v>
      </c>
      <c r="I25" s="40" t="s">
        <v>335</v>
      </c>
      <c r="J25" s="41" t="b">
        <v>1</v>
      </c>
      <c r="K25" s="41" t="b">
        <v>0</v>
      </c>
      <c r="L25" s="41" t="b">
        <v>0</v>
      </c>
      <c r="M25" s="41" t="b">
        <v>0</v>
      </c>
    </row>
    <row r="26" spans="1:13" ht="14.4">
      <c r="A26"/>
      <c r="B26"/>
      <c r="C26"/>
      <c r="D26"/>
      <c r="E26"/>
      <c r="F26"/>
      <c r="H26" s="40" t="s">
        <v>336</v>
      </c>
      <c r="I26" s="40" t="s">
        <v>337</v>
      </c>
      <c r="J26" s="41" t="b">
        <v>1</v>
      </c>
      <c r="K26" s="41" t="b">
        <v>0</v>
      </c>
      <c r="L26" s="41" t="b">
        <v>0</v>
      </c>
      <c r="M26" s="41" t="b">
        <v>0</v>
      </c>
    </row>
    <row r="27" spans="1:13" ht="14.4">
      <c r="A27"/>
      <c r="B27"/>
      <c r="C27"/>
      <c r="D27"/>
      <c r="E27"/>
      <c r="F27"/>
      <c r="H27" s="40" t="s">
        <v>338</v>
      </c>
      <c r="I27" s="40" t="s">
        <v>339</v>
      </c>
      <c r="J27" s="41" t="b">
        <v>1</v>
      </c>
      <c r="K27" s="41" t="b">
        <v>0</v>
      </c>
      <c r="L27" s="41" t="b">
        <v>0</v>
      </c>
      <c r="M27" s="41" t="b">
        <v>0</v>
      </c>
    </row>
    <row r="28" spans="1:13" ht="14.4">
      <c r="A28"/>
      <c r="B28"/>
      <c r="C28"/>
      <c r="D28"/>
      <c r="E28"/>
      <c r="F28"/>
      <c r="H28" s="40" t="s">
        <v>340</v>
      </c>
      <c r="I28" s="40" t="s">
        <v>341</v>
      </c>
      <c r="J28" s="41" t="b">
        <v>1</v>
      </c>
      <c r="K28" s="41" t="b">
        <v>0</v>
      </c>
      <c r="L28" s="41" t="b">
        <v>0</v>
      </c>
      <c r="M28" s="41" t="b">
        <v>0</v>
      </c>
    </row>
    <row r="29" spans="1:13" ht="14.4">
      <c r="A29"/>
      <c r="B29"/>
      <c r="C29"/>
      <c r="D29"/>
      <c r="E29"/>
      <c r="F29"/>
      <c r="H29" s="40" t="s">
        <v>342</v>
      </c>
      <c r="I29" s="40" t="s">
        <v>343</v>
      </c>
      <c r="J29" s="41" t="b">
        <v>1</v>
      </c>
      <c r="K29" s="41" t="b">
        <v>0</v>
      </c>
      <c r="L29" s="41" t="b">
        <v>0</v>
      </c>
      <c r="M29" s="41" t="b">
        <v>0</v>
      </c>
    </row>
    <row r="30" spans="1:13" ht="14.4">
      <c r="A30"/>
      <c r="B30"/>
      <c r="C30"/>
      <c r="D30"/>
      <c r="E30"/>
      <c r="F30"/>
      <c r="H30" s="40" t="s">
        <v>344</v>
      </c>
      <c r="I30" s="40" t="s">
        <v>345</v>
      </c>
      <c r="J30" s="41" t="b">
        <v>1</v>
      </c>
      <c r="K30" s="41" t="b">
        <v>0</v>
      </c>
      <c r="L30" s="41" t="b">
        <v>0</v>
      </c>
      <c r="M30" s="41" t="b">
        <v>0</v>
      </c>
    </row>
    <row r="31" spans="1:13" ht="14.4">
      <c r="A31"/>
      <c r="B31"/>
      <c r="C31"/>
      <c r="D31"/>
      <c r="E31"/>
      <c r="F31"/>
      <c r="H31" s="40" t="s">
        <v>346</v>
      </c>
      <c r="I31" s="40" t="s">
        <v>347</v>
      </c>
      <c r="J31" s="41" t="b">
        <v>1</v>
      </c>
      <c r="K31" s="41" t="b">
        <v>0</v>
      </c>
      <c r="L31" s="41" t="b">
        <v>0</v>
      </c>
      <c r="M31" s="41" t="b">
        <v>0</v>
      </c>
    </row>
    <row r="32" spans="1:13" ht="14.4">
      <c r="A32"/>
      <c r="B32"/>
      <c r="C32"/>
      <c r="D32"/>
      <c r="E32"/>
      <c r="F32"/>
      <c r="H32" s="40" t="s">
        <v>348</v>
      </c>
      <c r="I32" s="40" t="s">
        <v>349</v>
      </c>
      <c r="J32" s="41" t="b">
        <v>1</v>
      </c>
      <c r="K32" s="41" t="b">
        <v>0</v>
      </c>
      <c r="L32" s="41" t="b">
        <v>0</v>
      </c>
      <c r="M32" s="41" t="b">
        <v>0</v>
      </c>
    </row>
    <row r="33" spans="1:7">
      <c r="A33" s="37">
        <v>13</v>
      </c>
      <c r="B33" s="14">
        <v>1</v>
      </c>
      <c r="C33" s="15" t="s">
        <v>69</v>
      </c>
      <c r="D33" s="26"/>
      <c r="E33" s="2" t="s">
        <v>70</v>
      </c>
      <c r="F33" s="13" t="s">
        <v>54</v>
      </c>
    </row>
    <row r="34" spans="1:7" ht="14.4">
      <c r="A34"/>
      <c r="B34"/>
      <c r="C34"/>
      <c r="D34"/>
      <c r="E34" s="20" t="s">
        <v>388</v>
      </c>
      <c r="F34" s="75"/>
    </row>
    <row r="35" spans="1:7" ht="14.4">
      <c r="A35"/>
      <c r="B35"/>
      <c r="C35"/>
      <c r="D35"/>
      <c r="E35" s="20" t="s">
        <v>71</v>
      </c>
      <c r="F35" s="14">
        <v>1</v>
      </c>
    </row>
    <row r="36" spans="1:7" ht="14.4">
      <c r="A36"/>
      <c r="B36"/>
      <c r="C36"/>
      <c r="D36"/>
      <c r="E36" s="20" t="s">
        <v>72</v>
      </c>
      <c r="F36" s="14">
        <v>2</v>
      </c>
    </row>
    <row r="37" spans="1:7" ht="14.4">
      <c r="A37"/>
      <c r="B37"/>
      <c r="C37"/>
      <c r="D37"/>
      <c r="E37" s="20" t="s">
        <v>73</v>
      </c>
      <c r="F37" s="14">
        <v>3</v>
      </c>
    </row>
    <row r="38" spans="1:7" ht="14.4">
      <c r="A38"/>
      <c r="B38"/>
      <c r="C38"/>
      <c r="D38"/>
      <c r="E38" s="20" t="s">
        <v>74</v>
      </c>
      <c r="F38" s="14">
        <v>4</v>
      </c>
    </row>
    <row r="39" spans="1:7">
      <c r="A39" s="36">
        <v>14</v>
      </c>
      <c r="B39" s="12">
        <v>1</v>
      </c>
      <c r="C39" s="16" t="s">
        <v>75</v>
      </c>
      <c r="D39" s="17"/>
      <c r="E39" s="1" t="s">
        <v>216</v>
      </c>
      <c r="F39" s="11" t="s">
        <v>54</v>
      </c>
    </row>
    <row r="40" spans="1:7" ht="14.4">
      <c r="A40"/>
      <c r="B40"/>
      <c r="C40"/>
      <c r="D40"/>
      <c r="E40" s="19" t="s">
        <v>217</v>
      </c>
      <c r="F40" s="75" t="s">
        <v>218</v>
      </c>
    </row>
    <row r="41" spans="1:7" ht="14.4">
      <c r="A41"/>
      <c r="B41"/>
      <c r="C41"/>
      <c r="D41"/>
      <c r="E41" s="19" t="s">
        <v>209</v>
      </c>
      <c r="F41" s="12">
        <v>1</v>
      </c>
    </row>
    <row r="42" spans="1:7" ht="14.4">
      <c r="A42"/>
      <c r="B42"/>
      <c r="C42"/>
      <c r="D42"/>
      <c r="E42" s="19" t="s">
        <v>462</v>
      </c>
      <c r="F42" s="12">
        <v>2</v>
      </c>
    </row>
    <row r="43" spans="1:7">
      <c r="A43" s="37" t="s">
        <v>76</v>
      </c>
      <c r="B43" s="14">
        <v>1</v>
      </c>
      <c r="C43" s="15" t="s">
        <v>77</v>
      </c>
      <c r="D43" s="52"/>
      <c r="E43" s="2" t="s">
        <v>77</v>
      </c>
      <c r="F43" s="24" t="s">
        <v>54</v>
      </c>
      <c r="G43" s="20" t="s">
        <v>78</v>
      </c>
    </row>
    <row r="44" spans="1:7" ht="14.4">
      <c r="A44"/>
      <c r="B44"/>
      <c r="C44"/>
      <c r="D44"/>
      <c r="E44" s="20" t="s">
        <v>210</v>
      </c>
      <c r="F44" s="24"/>
      <c r="G44"/>
    </row>
    <row r="45" spans="1:7" ht="14.4">
      <c r="A45"/>
      <c r="B45"/>
      <c r="C45"/>
      <c r="D45"/>
      <c r="E45" s="20" t="s">
        <v>196</v>
      </c>
      <c r="F45" s="21">
        <v>1</v>
      </c>
      <c r="G45" s="2" t="s">
        <v>79</v>
      </c>
    </row>
    <row r="46" spans="1:7" ht="92.4">
      <c r="A46"/>
      <c r="B46"/>
      <c r="C46"/>
      <c r="D46"/>
      <c r="E46" s="20" t="s">
        <v>197</v>
      </c>
      <c r="F46" s="14">
        <v>2</v>
      </c>
      <c r="G46" s="2" t="s">
        <v>362</v>
      </c>
    </row>
    <row r="47" spans="1:7" ht="39.6">
      <c r="A47"/>
      <c r="B47"/>
      <c r="C47"/>
      <c r="D47"/>
      <c r="E47" s="20" t="s">
        <v>461</v>
      </c>
      <c r="F47" s="14">
        <v>3</v>
      </c>
      <c r="G47" s="2" t="s">
        <v>80</v>
      </c>
    </row>
    <row r="48" spans="1:7">
      <c r="A48" s="36" t="s">
        <v>81</v>
      </c>
      <c r="B48" s="12">
        <v>1</v>
      </c>
      <c r="C48" s="16" t="s">
        <v>82</v>
      </c>
      <c r="D48" s="44"/>
      <c r="E48" s="1" t="s">
        <v>82</v>
      </c>
      <c r="F48" s="23" t="s">
        <v>54</v>
      </c>
      <c r="G48" s="19" t="s">
        <v>83</v>
      </c>
    </row>
    <row r="49" spans="1:7" ht="14.4">
      <c r="A49"/>
      <c r="B49"/>
      <c r="C49"/>
      <c r="D49"/>
      <c r="E49" s="19" t="s">
        <v>211</v>
      </c>
      <c r="F49" s="23"/>
      <c r="G49"/>
    </row>
    <row r="50" spans="1:7" ht="26.4">
      <c r="A50"/>
      <c r="B50"/>
      <c r="C50"/>
      <c r="D50"/>
      <c r="E50" s="19" t="s">
        <v>199</v>
      </c>
      <c r="F50" s="22">
        <v>1</v>
      </c>
      <c r="G50" s="1" t="s">
        <v>84</v>
      </c>
    </row>
    <row r="51" spans="1:7" ht="52.8">
      <c r="A51"/>
      <c r="B51"/>
      <c r="C51"/>
      <c r="D51"/>
      <c r="E51" s="19" t="s">
        <v>82</v>
      </c>
      <c r="F51" s="22">
        <v>2</v>
      </c>
      <c r="G51" s="1" t="s">
        <v>85</v>
      </c>
    </row>
    <row r="52" spans="1:7">
      <c r="A52" s="37" t="s">
        <v>86</v>
      </c>
      <c r="B52" s="14">
        <v>1</v>
      </c>
      <c r="C52" s="15" t="s">
        <v>87</v>
      </c>
      <c r="D52" s="15"/>
      <c r="E52" s="2" t="s">
        <v>87</v>
      </c>
      <c r="F52" s="13" t="s">
        <v>54</v>
      </c>
    </row>
    <row r="53" spans="1:7" ht="14.4">
      <c r="A53"/>
      <c r="B53"/>
      <c r="C53"/>
      <c r="D53"/>
      <c r="E53" s="20" t="s">
        <v>210</v>
      </c>
      <c r="F53" s="13"/>
    </row>
    <row r="54" spans="1:7" ht="26.4">
      <c r="A54"/>
      <c r="B54"/>
      <c r="C54"/>
      <c r="D54"/>
      <c r="E54" s="20" t="s">
        <v>200</v>
      </c>
      <c r="F54" s="14">
        <v>1</v>
      </c>
      <c r="G54" s="73" t="s">
        <v>88</v>
      </c>
    </row>
    <row r="55" spans="1:7" ht="26.4">
      <c r="A55"/>
      <c r="B55"/>
      <c r="C55"/>
      <c r="D55"/>
      <c r="E55" s="20" t="s">
        <v>201</v>
      </c>
      <c r="F55" s="14">
        <v>2</v>
      </c>
      <c r="G55" s="73" t="s">
        <v>89</v>
      </c>
    </row>
    <row r="56" spans="1:7" ht="26.4">
      <c r="A56"/>
      <c r="B56"/>
      <c r="C56"/>
      <c r="D56"/>
      <c r="E56" s="20" t="s">
        <v>202</v>
      </c>
      <c r="F56" s="14">
        <v>3</v>
      </c>
      <c r="G56" s="73" t="s">
        <v>90</v>
      </c>
    </row>
    <row r="57" spans="1:7" ht="26.4">
      <c r="A57" s="36" t="s">
        <v>91</v>
      </c>
      <c r="B57" s="12">
        <v>1</v>
      </c>
      <c r="C57" s="16" t="s">
        <v>92</v>
      </c>
      <c r="D57" s="19" t="s">
        <v>93</v>
      </c>
      <c r="E57" s="1" t="s">
        <v>95</v>
      </c>
      <c r="F57" s="11" t="s">
        <v>54</v>
      </c>
    </row>
    <row r="58" spans="1:7" ht="14.4">
      <c r="A58"/>
      <c r="B58"/>
      <c r="C58"/>
      <c r="D58"/>
      <c r="E58" s="19" t="s">
        <v>215</v>
      </c>
      <c r="F58" s="12"/>
    </row>
    <row r="59" spans="1:7" ht="14.4">
      <c r="A59"/>
      <c r="B59"/>
      <c r="C59"/>
      <c r="D59"/>
      <c r="E59" s="19" t="s">
        <v>94</v>
      </c>
      <c r="F59" s="12">
        <v>1</v>
      </c>
    </row>
    <row r="60" spans="1:7" ht="14.4">
      <c r="A60"/>
      <c r="B60"/>
      <c r="C60"/>
      <c r="D60"/>
      <c r="E60" s="19" t="s">
        <v>95</v>
      </c>
      <c r="F60" s="12">
        <v>2</v>
      </c>
    </row>
    <row r="61" spans="1:7">
      <c r="A61" s="37" t="s">
        <v>96</v>
      </c>
      <c r="B61" s="14">
        <v>1</v>
      </c>
      <c r="C61" s="15" t="s">
        <v>97</v>
      </c>
      <c r="D61" s="20" t="s">
        <v>98</v>
      </c>
      <c r="E61" s="2" t="s">
        <v>226</v>
      </c>
      <c r="F61" s="13" t="s">
        <v>54</v>
      </c>
    </row>
    <row r="62" spans="1:7" ht="14.4">
      <c r="A62"/>
      <c r="B62"/>
      <c r="C62"/>
      <c r="D62"/>
      <c r="E62" s="20" t="s">
        <v>224</v>
      </c>
      <c r="F62" s="14"/>
    </row>
    <row r="63" spans="1:7" ht="14.4">
      <c r="A63"/>
      <c r="B63"/>
      <c r="C63"/>
      <c r="D63"/>
      <c r="E63" s="20" t="s">
        <v>99</v>
      </c>
      <c r="F63" s="14">
        <v>1</v>
      </c>
      <c r="G63" s="20" t="s">
        <v>229</v>
      </c>
    </row>
    <row r="64" spans="1:7" ht="14.4">
      <c r="A64"/>
      <c r="B64"/>
      <c r="C64"/>
      <c r="D64"/>
      <c r="E64" s="20" t="s">
        <v>100</v>
      </c>
      <c r="F64" s="14">
        <v>2</v>
      </c>
      <c r="G64" s="20" t="s">
        <v>230</v>
      </c>
    </row>
    <row r="65" spans="1:7" ht="39.6">
      <c r="A65" s="36" t="s">
        <v>101</v>
      </c>
      <c r="B65" s="12">
        <v>1</v>
      </c>
      <c r="C65" s="16" t="s">
        <v>102</v>
      </c>
      <c r="D65" s="19" t="s">
        <v>103</v>
      </c>
      <c r="E65" s="1" t="s">
        <v>214</v>
      </c>
      <c r="F65" s="11" t="s">
        <v>54</v>
      </c>
    </row>
    <row r="66" spans="1:7" ht="14.4">
      <c r="A66"/>
      <c r="B66"/>
      <c r="C66"/>
      <c r="D66"/>
      <c r="E66" s="19" t="s">
        <v>231</v>
      </c>
      <c r="F66" s="12"/>
      <c r="G66"/>
    </row>
    <row r="67" spans="1:7" ht="26.4">
      <c r="A67"/>
      <c r="B67"/>
      <c r="C67"/>
      <c r="D67"/>
      <c r="E67" s="19" t="s">
        <v>227</v>
      </c>
      <c r="F67" s="22">
        <v>1</v>
      </c>
      <c r="G67" s="19" t="s">
        <v>213</v>
      </c>
    </row>
    <row r="68" spans="1:7" ht="14.4">
      <c r="A68"/>
      <c r="B68"/>
      <c r="C68"/>
      <c r="D68"/>
      <c r="E68" s="19" t="s">
        <v>228</v>
      </c>
      <c r="F68" s="22">
        <v>2</v>
      </c>
      <c r="G68" s="19" t="s">
        <v>212</v>
      </c>
    </row>
    <row r="69" spans="1:7" ht="39.6">
      <c r="A69" s="37">
        <v>21</v>
      </c>
      <c r="B69" s="14">
        <v>4</v>
      </c>
      <c r="C69" s="15" t="s">
        <v>104</v>
      </c>
      <c r="D69" s="20" t="s">
        <v>105</v>
      </c>
      <c r="E69" s="20"/>
      <c r="F69" s="14"/>
      <c r="G69" s="20" t="s">
        <v>107</v>
      </c>
    </row>
    <row r="70" spans="1:7" ht="39.6">
      <c r="A70" s="36">
        <v>22</v>
      </c>
      <c r="B70" s="12">
        <v>4</v>
      </c>
      <c r="C70" s="16" t="s">
        <v>104</v>
      </c>
      <c r="D70" s="19" t="s">
        <v>108</v>
      </c>
      <c r="E70" s="19"/>
      <c r="F70" s="12"/>
      <c r="G70" s="19" t="s">
        <v>109</v>
      </c>
    </row>
    <row r="71" spans="1:7" ht="118.8">
      <c r="A71" s="14">
        <v>23</v>
      </c>
      <c r="B71" s="14">
        <v>1</v>
      </c>
      <c r="C71" s="15" t="s">
        <v>110</v>
      </c>
      <c r="D71" s="20" t="s">
        <v>203</v>
      </c>
      <c r="E71" s="66" t="s">
        <v>236</v>
      </c>
      <c r="F71" s="13" t="s">
        <v>54</v>
      </c>
      <c r="G71"/>
    </row>
    <row r="72" spans="1:7" ht="14.4">
      <c r="A72"/>
      <c r="B72"/>
      <c r="C72"/>
      <c r="D72"/>
      <c r="E72" s="66" t="s">
        <v>237</v>
      </c>
      <c r="F72" s="13"/>
      <c r="G72"/>
    </row>
    <row r="73" spans="1:7" ht="14.4">
      <c r="A73"/>
      <c r="B73"/>
      <c r="C73"/>
      <c r="D73"/>
      <c r="E73" s="20" t="s">
        <v>232</v>
      </c>
      <c r="F73" s="14">
        <v>0</v>
      </c>
      <c r="G73" s="52" t="s">
        <v>233</v>
      </c>
    </row>
    <row r="74" spans="1:7" ht="14.4">
      <c r="A74"/>
      <c r="B74"/>
      <c r="C74"/>
      <c r="D74"/>
      <c r="E74" s="20" t="s">
        <v>234</v>
      </c>
      <c r="F74" s="14">
        <v>1</v>
      </c>
      <c r="G74" s="52" t="s">
        <v>235</v>
      </c>
    </row>
    <row r="75" spans="1:7" ht="238.2">
      <c r="A75" s="12" t="s">
        <v>111</v>
      </c>
      <c r="B75" s="12">
        <v>7</v>
      </c>
      <c r="C75" s="16" t="s">
        <v>112</v>
      </c>
      <c r="D75" s="51" t="s">
        <v>238</v>
      </c>
      <c r="E75"/>
      <c r="F75"/>
      <c r="G75"/>
    </row>
    <row r="76" spans="1:7" ht="79.2">
      <c r="A76" s="47" t="s">
        <v>113</v>
      </c>
      <c r="B76" s="48">
        <v>7</v>
      </c>
      <c r="C76" s="49" t="s">
        <v>114</v>
      </c>
      <c r="D76" s="80" t="s">
        <v>524</v>
      </c>
      <c r="F76" s="2" t="s">
        <v>382</v>
      </c>
    </row>
    <row r="77" spans="1:7" ht="14.4">
      <c r="A77"/>
      <c r="B77"/>
      <c r="C77"/>
      <c r="D77"/>
      <c r="E77"/>
      <c r="F77" s="50" t="s">
        <v>386</v>
      </c>
      <c r="G77"/>
    </row>
    <row r="78" spans="1:7" ht="14.4">
      <c r="A78" s="36" t="s">
        <v>115</v>
      </c>
      <c r="B78" s="12" t="s">
        <v>116</v>
      </c>
      <c r="C78" s="16" t="s">
        <v>117</v>
      </c>
      <c r="D78" s="16"/>
      <c r="F78" s="20" t="s">
        <v>383</v>
      </c>
      <c r="G78"/>
    </row>
    <row r="79" spans="1:7" ht="14.4">
      <c r="A79" s="37" t="s">
        <v>118</v>
      </c>
      <c r="B79" s="14" t="s">
        <v>116</v>
      </c>
      <c r="C79" s="15" t="s">
        <v>119</v>
      </c>
      <c r="D79" s="15"/>
      <c r="F79" s="20" t="s">
        <v>384</v>
      </c>
      <c r="G79"/>
    </row>
    <row r="80" spans="1:7" ht="26.4">
      <c r="A80" s="281"/>
      <c r="B80" s="14"/>
      <c r="C80" s="15"/>
      <c r="D80" s="15" t="s">
        <v>649</v>
      </c>
      <c r="F80" s="20"/>
      <c r="G80"/>
    </row>
    <row r="81" spans="1:7" ht="52.8">
      <c r="A81" s="28" t="s">
        <v>120</v>
      </c>
      <c r="B81" s="28"/>
      <c r="C81" s="18" t="s">
        <v>121</v>
      </c>
      <c r="D81" s="10" t="s">
        <v>351</v>
      </c>
      <c r="E81" s="69" t="s">
        <v>240</v>
      </c>
      <c r="F81" s="27" t="s">
        <v>54</v>
      </c>
    </row>
    <row r="82" spans="1:7">
      <c r="A82" s="28"/>
      <c r="B82" s="28"/>
      <c r="C82" s="18"/>
      <c r="D82" s="10"/>
      <c r="E82" s="63" t="s">
        <v>224</v>
      </c>
      <c r="F82" s="27"/>
    </row>
    <row r="83" spans="1:7">
      <c r="A83" s="28"/>
      <c r="B83" s="28"/>
      <c r="C83" s="42"/>
      <c r="D83" s="42"/>
      <c r="E83" s="10" t="s">
        <v>122</v>
      </c>
      <c r="F83" s="62"/>
    </row>
    <row r="84" spans="1:7">
      <c r="A84" s="28"/>
      <c r="B84" s="28"/>
      <c r="C84" s="42"/>
      <c r="D84" s="42"/>
      <c r="E84" s="10" t="s">
        <v>123</v>
      </c>
      <c r="F84" s="62"/>
    </row>
    <row r="85" spans="1:7" ht="52.8">
      <c r="A85" s="43" t="s">
        <v>120</v>
      </c>
      <c r="B85" s="43"/>
      <c r="C85" s="53" t="s">
        <v>352</v>
      </c>
      <c r="D85" s="53"/>
      <c r="E85" s="29"/>
      <c r="F85" s="43"/>
    </row>
    <row r="86" spans="1:7" ht="26.4">
      <c r="A86" s="12">
        <v>31</v>
      </c>
      <c r="B86" s="12">
        <v>1</v>
      </c>
      <c r="C86" s="16" t="s">
        <v>288</v>
      </c>
      <c r="D86" s="19" t="s">
        <v>124</v>
      </c>
      <c r="E86" s="68" t="s">
        <v>245</v>
      </c>
      <c r="F86" s="11" t="s">
        <v>54</v>
      </c>
      <c r="G86"/>
    </row>
    <row r="87" spans="1:7" ht="14.4">
      <c r="A87"/>
      <c r="B87"/>
      <c r="C87"/>
      <c r="D87"/>
      <c r="E87" s="67" t="s">
        <v>224</v>
      </c>
      <c r="F87" s="11"/>
      <c r="G87"/>
    </row>
    <row r="88" spans="1:7" ht="14.4">
      <c r="A88"/>
      <c r="B88"/>
      <c r="C88"/>
      <c r="D88"/>
      <c r="E88" s="19" t="s">
        <v>242</v>
      </c>
      <c r="F88" s="12" t="s">
        <v>125</v>
      </c>
      <c r="G88" s="19" t="s">
        <v>241</v>
      </c>
    </row>
    <row r="89" spans="1:7" ht="39" customHeight="1">
      <c r="A89"/>
      <c r="B89"/>
      <c r="C89"/>
      <c r="D89"/>
      <c r="E89" s="19" t="s">
        <v>243</v>
      </c>
      <c r="F89" s="12">
        <v>0</v>
      </c>
      <c r="G89" s="1" t="s">
        <v>126</v>
      </c>
    </row>
    <row r="90" spans="1:7" ht="40.200000000000003" customHeight="1">
      <c r="A90"/>
      <c r="B90"/>
      <c r="C90"/>
      <c r="D90"/>
      <c r="E90" s="19" t="s">
        <v>244</v>
      </c>
      <c r="F90" s="12">
        <v>1</v>
      </c>
      <c r="G90" s="1" t="s">
        <v>127</v>
      </c>
    </row>
    <row r="91" spans="1:7" ht="40.200000000000003" customHeight="1">
      <c r="A91" s="12"/>
      <c r="B91" s="12"/>
      <c r="C91" s="16" t="s">
        <v>656</v>
      </c>
      <c r="D91" s="19"/>
      <c r="E91" s="1" t="s">
        <v>657</v>
      </c>
      <c r="F91" s="12"/>
      <c r="G91" s="290"/>
    </row>
    <row r="92" spans="1:7" ht="40.200000000000003" customHeight="1">
      <c r="A92"/>
      <c r="B92"/>
      <c r="C92"/>
      <c r="D92"/>
      <c r="E92" s="19" t="s">
        <v>224</v>
      </c>
      <c r="F92" s="12"/>
      <c r="G92" s="290"/>
    </row>
    <row r="93" spans="1:7" ht="40.200000000000003" customHeight="1">
      <c r="A93"/>
      <c r="B93"/>
      <c r="C93"/>
      <c r="D93"/>
      <c r="E93" s="19" t="s">
        <v>659</v>
      </c>
      <c r="F93" s="12"/>
      <c r="G93" s="290"/>
    </row>
    <row r="94" spans="1:7" ht="40.200000000000003" customHeight="1">
      <c r="A94"/>
      <c r="B94"/>
      <c r="C94"/>
      <c r="D94"/>
      <c r="E94" s="19" t="s">
        <v>658</v>
      </c>
      <c r="F94" s="12"/>
      <c r="G94" s="290"/>
    </row>
    <row r="95" spans="1:7" ht="52.8">
      <c r="A95" s="37">
        <v>32</v>
      </c>
      <c r="B95" s="14"/>
      <c r="C95" s="15" t="s">
        <v>289</v>
      </c>
      <c r="D95" s="20" t="s">
        <v>251</v>
      </c>
      <c r="E95" s="2" t="s">
        <v>246</v>
      </c>
      <c r="F95" s="13" t="s">
        <v>54</v>
      </c>
    </row>
    <row r="96" spans="1:7" ht="14.4">
      <c r="A96"/>
      <c r="B96"/>
      <c r="C96"/>
      <c r="D96"/>
      <c r="E96" s="20" t="s">
        <v>660</v>
      </c>
      <c r="F96" s="13"/>
    </row>
    <row r="97" spans="1:7" ht="14.4">
      <c r="A97"/>
      <c r="B97"/>
      <c r="C97"/>
      <c r="D97"/>
      <c r="E97" s="20" t="s">
        <v>242</v>
      </c>
      <c r="F97" s="14" t="s">
        <v>129</v>
      </c>
      <c r="G97" s="73" t="s">
        <v>128</v>
      </c>
    </row>
    <row r="98" spans="1:7" ht="14.4">
      <c r="A98"/>
      <c r="B98"/>
      <c r="C98"/>
      <c r="D98"/>
      <c r="E98" s="20" t="s">
        <v>130</v>
      </c>
      <c r="F98" s="14">
        <v>1</v>
      </c>
    </row>
    <row r="99" spans="1:7" ht="14.4">
      <c r="A99"/>
      <c r="B99"/>
      <c r="C99"/>
      <c r="D99"/>
      <c r="E99" s="20" t="s">
        <v>131</v>
      </c>
      <c r="F99" s="14">
        <v>2</v>
      </c>
    </row>
    <row r="100" spans="1:7" ht="52.8">
      <c r="A100" s="36" t="s">
        <v>132</v>
      </c>
      <c r="B100" s="12"/>
      <c r="C100" s="19" t="s">
        <v>133</v>
      </c>
      <c r="D100" s="19" t="s">
        <v>134</v>
      </c>
      <c r="E100" s="1" t="s">
        <v>247</v>
      </c>
      <c r="F100" s="11" t="s">
        <v>54</v>
      </c>
    </row>
    <row r="101" spans="1:7" ht="14.4">
      <c r="A101"/>
      <c r="B101"/>
      <c r="C101"/>
      <c r="D101"/>
      <c r="E101" s="19" t="s">
        <v>211</v>
      </c>
      <c r="F101" s="11"/>
    </row>
    <row r="102" spans="1:7" ht="14.4">
      <c r="A102"/>
      <c r="B102"/>
      <c r="C102"/>
      <c r="D102"/>
      <c r="E102" s="19" t="s">
        <v>248</v>
      </c>
      <c r="F102" s="12">
        <v>1</v>
      </c>
      <c r="G102" s="74" t="s">
        <v>135</v>
      </c>
    </row>
    <row r="103" spans="1:7" ht="14.4">
      <c r="A103"/>
      <c r="B103"/>
      <c r="C103"/>
      <c r="D103"/>
      <c r="E103" s="19" t="s">
        <v>249</v>
      </c>
      <c r="F103" s="12">
        <v>2</v>
      </c>
      <c r="G103" s="74" t="s">
        <v>136</v>
      </c>
    </row>
    <row r="104" spans="1:7" ht="14.4">
      <c r="A104"/>
      <c r="B104"/>
      <c r="C104"/>
      <c r="D104"/>
      <c r="E104" s="19" t="s">
        <v>250</v>
      </c>
      <c r="F104" s="22">
        <v>3</v>
      </c>
      <c r="G104" s="1" t="s">
        <v>137</v>
      </c>
    </row>
    <row r="105" spans="1:7" ht="129.6">
      <c r="A105"/>
      <c r="B105"/>
      <c r="C105" s="190" t="s">
        <v>463</v>
      </c>
      <c r="D105" s="190" t="s">
        <v>464</v>
      </c>
      <c r="E105" s="184"/>
      <c r="F105" s="191" t="s">
        <v>528</v>
      </c>
      <c r="G105" s="185"/>
    </row>
    <row r="106" spans="1:7" ht="129.6">
      <c r="A106"/>
      <c r="B106"/>
      <c r="C106" s="190" t="s">
        <v>475</v>
      </c>
      <c r="D106" s="190" t="s">
        <v>464</v>
      </c>
      <c r="E106" s="191" t="s">
        <v>473</v>
      </c>
      <c r="F106" s="291" t="s">
        <v>472</v>
      </c>
      <c r="G106" s="185"/>
    </row>
    <row r="107" spans="1:7" ht="14.4">
      <c r="A107"/>
      <c r="B107"/>
      <c r="C107"/>
      <c r="D107"/>
      <c r="E107" s="188" t="s">
        <v>472</v>
      </c>
      <c r="F107" s="189" t="s">
        <v>265</v>
      </c>
      <c r="G107" s="187"/>
    </row>
    <row r="108" spans="1:7" ht="14.4">
      <c r="A108"/>
      <c r="B108"/>
      <c r="C108"/>
      <c r="D108"/>
      <c r="E108" s="189" t="s">
        <v>465</v>
      </c>
      <c r="F108" s="189" t="s">
        <v>465</v>
      </c>
      <c r="G108" s="187"/>
    </row>
    <row r="109" spans="1:7" ht="14.4">
      <c r="A109"/>
      <c r="B109"/>
      <c r="C109"/>
      <c r="D109"/>
      <c r="E109" s="189" t="s">
        <v>466</v>
      </c>
      <c r="F109" s="189" t="s">
        <v>466</v>
      </c>
      <c r="G109" s="187"/>
    </row>
    <row r="110" spans="1:7" ht="14.4">
      <c r="A110"/>
      <c r="B110"/>
      <c r="C110"/>
      <c r="D110"/>
      <c r="E110" s="189" t="s">
        <v>467</v>
      </c>
      <c r="F110" s="189" t="s">
        <v>467</v>
      </c>
      <c r="G110" s="187"/>
    </row>
    <row r="111" spans="1:7" ht="14.4">
      <c r="A111"/>
      <c r="B111"/>
      <c r="C111"/>
      <c r="D111"/>
      <c r="E111" s="189" t="s">
        <v>468</v>
      </c>
      <c r="F111" s="189" t="s">
        <v>468</v>
      </c>
      <c r="G111" s="187"/>
    </row>
    <row r="112" spans="1:7" ht="14.4">
      <c r="A112"/>
      <c r="B112"/>
      <c r="C112"/>
      <c r="D112"/>
      <c r="E112" s="189" t="s">
        <v>469</v>
      </c>
      <c r="F112" s="189" t="s">
        <v>469</v>
      </c>
      <c r="G112" s="187"/>
    </row>
    <row r="113" spans="1:7" ht="14.4">
      <c r="A113"/>
      <c r="B113"/>
      <c r="C113"/>
      <c r="D113"/>
      <c r="E113" s="189" t="s">
        <v>470</v>
      </c>
      <c r="F113" s="189" t="s">
        <v>470</v>
      </c>
      <c r="G113" s="187"/>
    </row>
    <row r="114" spans="1:7" ht="14.4">
      <c r="A114"/>
      <c r="B114"/>
      <c r="C114"/>
      <c r="D114"/>
      <c r="E114" s="189" t="s">
        <v>471</v>
      </c>
      <c r="F114" s="189" t="s">
        <v>471</v>
      </c>
      <c r="G114" s="187"/>
    </row>
    <row r="115" spans="1:7" ht="129.6">
      <c r="A115"/>
      <c r="B115"/>
      <c r="C115" s="193" t="s">
        <v>478</v>
      </c>
      <c r="D115" s="190" t="s">
        <v>464</v>
      </c>
      <c r="E115" s="292" t="s">
        <v>482</v>
      </c>
      <c r="F115" s="186"/>
      <c r="G115" s="187"/>
    </row>
    <row r="116" spans="1:7" ht="14.4">
      <c r="A116"/>
      <c r="B116"/>
      <c r="C116" s="194"/>
      <c r="E116" s="192" t="s">
        <v>586</v>
      </c>
      <c r="F116" s="186"/>
      <c r="G116" s="187"/>
    </row>
    <row r="117" spans="1:7" ht="14.4">
      <c r="A117"/>
      <c r="B117"/>
      <c r="C117" s="194"/>
      <c r="E117" s="192" t="s">
        <v>265</v>
      </c>
      <c r="F117" s="186"/>
      <c r="G117" s="187"/>
    </row>
    <row r="118" spans="1:7" ht="14.4">
      <c r="A118"/>
      <c r="B118"/>
      <c r="C118" s="194"/>
      <c r="E118" s="192" t="s">
        <v>479</v>
      </c>
      <c r="F118" s="186"/>
      <c r="G118" s="187"/>
    </row>
    <row r="119" spans="1:7" ht="14.4">
      <c r="A119"/>
      <c r="B119"/>
      <c r="C119" s="194"/>
      <c r="E119" s="192" t="s">
        <v>480</v>
      </c>
      <c r="F119" s="186"/>
      <c r="G119" s="187"/>
    </row>
    <row r="120" spans="1:7" ht="14.4">
      <c r="A120"/>
      <c r="B120"/>
      <c r="C120" s="194"/>
      <c r="E120" s="192" t="s">
        <v>481</v>
      </c>
      <c r="F120" s="186"/>
      <c r="G120" s="187"/>
    </row>
    <row r="121" spans="1:7" ht="14.4">
      <c r="A121"/>
      <c r="B121"/>
      <c r="C121" s="194"/>
      <c r="E121" s="192" t="s">
        <v>583</v>
      </c>
      <c r="F121" s="186"/>
      <c r="G121" s="187"/>
    </row>
    <row r="122" spans="1:7" ht="14.4">
      <c r="A122"/>
      <c r="B122"/>
      <c r="C122"/>
      <c r="D122"/>
      <c r="E122" s="192" t="s">
        <v>584</v>
      </c>
      <c r="F122" s="186"/>
      <c r="G122" s="187"/>
    </row>
    <row r="123" spans="1:7" ht="14.4">
      <c r="A123"/>
      <c r="B123"/>
      <c r="C123"/>
      <c r="D123"/>
      <c r="E123" s="192" t="s">
        <v>585</v>
      </c>
      <c r="F123" s="186"/>
      <c r="G123" s="187"/>
    </row>
    <row r="124" spans="1:7" ht="66">
      <c r="A124"/>
      <c r="B124"/>
      <c r="C124" s="3" t="s">
        <v>138</v>
      </c>
      <c r="D124" s="4" t="s">
        <v>353</v>
      </c>
      <c r="E124"/>
      <c r="F124"/>
      <c r="G124"/>
    </row>
    <row r="125" spans="1:7" ht="14.4">
      <c r="A125" s="14">
        <v>37</v>
      </c>
      <c r="B125" s="14">
        <v>1</v>
      </c>
      <c r="C125" s="20" t="s">
        <v>139</v>
      </c>
      <c r="D125" s="20" t="s">
        <v>140</v>
      </c>
      <c r="E125" s="2" t="s">
        <v>252</v>
      </c>
      <c r="F125" s="13" t="s">
        <v>54</v>
      </c>
      <c r="G125"/>
    </row>
    <row r="126" spans="1:7" ht="14.4">
      <c r="A126"/>
      <c r="B126"/>
      <c r="C126"/>
      <c r="D126"/>
      <c r="E126" s="20" t="s">
        <v>224</v>
      </c>
      <c r="F126" s="13"/>
      <c r="G126"/>
    </row>
    <row r="127" spans="1:7" ht="26.4">
      <c r="A127"/>
      <c r="B127"/>
      <c r="C127"/>
      <c r="D127"/>
      <c r="E127" s="20" t="s">
        <v>242</v>
      </c>
      <c r="F127" s="14" t="s">
        <v>354</v>
      </c>
      <c r="G127" s="2" t="s">
        <v>459</v>
      </c>
    </row>
    <row r="128" spans="1:7" ht="14.4">
      <c r="A128"/>
      <c r="B128"/>
      <c r="C128"/>
      <c r="D128"/>
      <c r="E128" s="20" t="s">
        <v>150</v>
      </c>
      <c r="F128" s="14">
        <v>1</v>
      </c>
      <c r="G128" s="2" t="s">
        <v>141</v>
      </c>
    </row>
    <row r="129" spans="1:7" ht="14.4">
      <c r="A129"/>
      <c r="B129"/>
      <c r="C129"/>
      <c r="D129"/>
      <c r="E129" s="20" t="s">
        <v>151</v>
      </c>
      <c r="F129" s="14">
        <v>2</v>
      </c>
      <c r="G129" s="2" t="s">
        <v>142</v>
      </c>
    </row>
    <row r="130" spans="1:7" ht="14.4">
      <c r="A130"/>
      <c r="B130"/>
      <c r="C130"/>
      <c r="D130"/>
      <c r="E130" s="20" t="s">
        <v>198</v>
      </c>
      <c r="F130" s="14">
        <v>3</v>
      </c>
      <c r="G130" s="2" t="s">
        <v>143</v>
      </c>
    </row>
    <row r="131" spans="1:7" ht="39.6">
      <c r="A131" s="36">
        <v>38</v>
      </c>
      <c r="B131" s="12">
        <v>1</v>
      </c>
      <c r="C131" s="16" t="s">
        <v>144</v>
      </c>
      <c r="D131" s="19" t="s">
        <v>145</v>
      </c>
      <c r="E131" s="1" t="s">
        <v>253</v>
      </c>
      <c r="F131" s="11" t="s">
        <v>54</v>
      </c>
      <c r="G131"/>
    </row>
    <row r="132" spans="1:7" ht="14.4">
      <c r="A132"/>
      <c r="B132"/>
      <c r="C132"/>
      <c r="D132"/>
      <c r="E132" s="19" t="s">
        <v>254</v>
      </c>
      <c r="F132" s="11"/>
      <c r="G132"/>
    </row>
    <row r="133" spans="1:7" ht="14.4">
      <c r="A133"/>
      <c r="B133"/>
      <c r="C133"/>
      <c r="D133"/>
      <c r="E133" s="19" t="s">
        <v>146</v>
      </c>
      <c r="F133" s="12">
        <v>-1</v>
      </c>
      <c r="G133"/>
    </row>
    <row r="134" spans="1:7" ht="14.4">
      <c r="A134"/>
      <c r="B134"/>
      <c r="C134"/>
      <c r="D134"/>
      <c r="E134" s="19" t="s">
        <v>147</v>
      </c>
      <c r="F134" s="12">
        <v>1</v>
      </c>
      <c r="G134"/>
    </row>
    <row r="135" spans="1:7" ht="14.4">
      <c r="A135"/>
      <c r="B135"/>
      <c r="C135"/>
      <c r="D135"/>
      <c r="E135" s="19" t="s">
        <v>148</v>
      </c>
      <c r="F135" s="12">
        <v>2</v>
      </c>
      <c r="G135"/>
    </row>
    <row r="136" spans="1:7" ht="92.4">
      <c r="A136" s="14">
        <v>39</v>
      </c>
      <c r="B136" s="14">
        <v>7</v>
      </c>
      <c r="C136" s="20" t="s">
        <v>149</v>
      </c>
      <c r="D136" s="20" t="s">
        <v>255</v>
      </c>
      <c r="E136"/>
      <c r="F136"/>
    </row>
    <row r="137" spans="1:7" ht="92.4">
      <c r="A137" s="54">
        <v>40</v>
      </c>
      <c r="B137" s="55">
        <v>3</v>
      </c>
      <c r="C137" s="56" t="s">
        <v>152</v>
      </c>
      <c r="D137" s="56" t="s">
        <v>256</v>
      </c>
      <c r="E137"/>
      <c r="F137"/>
    </row>
    <row r="138" spans="1:7" ht="66">
      <c r="A138" s="14">
        <v>41</v>
      </c>
      <c r="B138" s="14">
        <v>1</v>
      </c>
      <c r="C138" s="20" t="s">
        <v>153</v>
      </c>
      <c r="D138" s="20" t="s">
        <v>204</v>
      </c>
      <c r="E138" s="70" t="s">
        <v>258</v>
      </c>
      <c r="F138" s="13" t="s">
        <v>54</v>
      </c>
      <c r="G138"/>
    </row>
    <row r="139" spans="1:7" ht="14.4">
      <c r="A139"/>
      <c r="B139"/>
      <c r="C139"/>
      <c r="D139"/>
      <c r="E139" s="66" t="s">
        <v>257</v>
      </c>
      <c r="F139" s="13"/>
      <c r="G139"/>
    </row>
    <row r="140" spans="1:7" ht="14.4">
      <c r="A140"/>
      <c r="B140"/>
      <c r="C140"/>
      <c r="D140"/>
      <c r="E140" s="20" t="s">
        <v>146</v>
      </c>
      <c r="F140" s="14">
        <v>0</v>
      </c>
      <c r="G140"/>
    </row>
    <row r="141" spans="1:7" ht="14.4">
      <c r="A141"/>
      <c r="B141"/>
      <c r="C141"/>
      <c r="D141"/>
      <c r="E141" s="20" t="s">
        <v>154</v>
      </c>
      <c r="F141" s="14">
        <v>1</v>
      </c>
      <c r="G141"/>
    </row>
    <row r="142" spans="1:7" ht="14.4">
      <c r="A142"/>
      <c r="B142"/>
      <c r="C142"/>
      <c r="D142"/>
      <c r="E142" s="20" t="s">
        <v>155</v>
      </c>
      <c r="F142" s="14">
        <v>2</v>
      </c>
      <c r="G142"/>
    </row>
    <row r="143" spans="1:7" ht="14.4">
      <c r="A143"/>
      <c r="B143"/>
      <c r="C143"/>
      <c r="D143"/>
      <c r="E143" s="20" t="s">
        <v>156</v>
      </c>
      <c r="F143" s="14">
        <v>3</v>
      </c>
      <c r="G143"/>
    </row>
    <row r="144" spans="1:7" ht="14.4">
      <c r="A144"/>
      <c r="B144"/>
      <c r="C144"/>
      <c r="D144"/>
      <c r="E144" s="20" t="s">
        <v>157</v>
      </c>
      <c r="F144" s="14">
        <v>4</v>
      </c>
      <c r="G144"/>
    </row>
    <row r="145" spans="1:7" ht="14.4">
      <c r="A145"/>
      <c r="B145"/>
      <c r="C145"/>
      <c r="D145"/>
      <c r="E145" s="20" t="s">
        <v>158</v>
      </c>
      <c r="F145" s="14">
        <v>5</v>
      </c>
      <c r="G145"/>
    </row>
    <row r="146" spans="1:7" ht="14.4">
      <c r="A146"/>
      <c r="B146"/>
      <c r="C146"/>
      <c r="D146"/>
      <c r="E146" s="20" t="s">
        <v>159</v>
      </c>
      <c r="F146" s="14">
        <v>6</v>
      </c>
      <c r="G146"/>
    </row>
    <row r="147" spans="1:7" ht="79.2">
      <c r="A147" s="12">
        <v>42</v>
      </c>
      <c r="B147" s="12">
        <v>2</v>
      </c>
      <c r="C147" s="19" t="s">
        <v>160</v>
      </c>
      <c r="D147" s="19" t="s">
        <v>259</v>
      </c>
      <c r="E147"/>
      <c r="F147"/>
    </row>
    <row r="148" spans="1:7" ht="92.4">
      <c r="A148" s="57">
        <v>43</v>
      </c>
      <c r="B148" s="58">
        <v>5</v>
      </c>
      <c r="C148" s="46" t="s">
        <v>161</v>
      </c>
      <c r="D148" s="46" t="s">
        <v>260</v>
      </c>
      <c r="E148"/>
      <c r="F148"/>
    </row>
    <row r="149" spans="1:7" ht="14.4">
      <c r="A149" s="12">
        <v>44</v>
      </c>
      <c r="B149" s="12">
        <v>1</v>
      </c>
      <c r="C149" s="19" t="s">
        <v>162</v>
      </c>
      <c r="D149" s="19" t="s">
        <v>140</v>
      </c>
      <c r="E149" s="1" t="s">
        <v>261</v>
      </c>
      <c r="F149" s="11" t="s">
        <v>106</v>
      </c>
      <c r="G149"/>
    </row>
    <row r="150" spans="1:7" ht="14.4">
      <c r="A150"/>
      <c r="B150"/>
      <c r="C150"/>
      <c r="D150"/>
      <c r="E150" s="19" t="s">
        <v>262</v>
      </c>
      <c r="F150" s="11"/>
      <c r="G150"/>
    </row>
    <row r="151" spans="1:7" ht="14.4">
      <c r="A151"/>
      <c r="B151"/>
      <c r="C151"/>
      <c r="D151"/>
      <c r="E151" s="19" t="s">
        <v>146</v>
      </c>
      <c r="F151" s="12">
        <v>-1</v>
      </c>
      <c r="G151" s="19" t="s">
        <v>146</v>
      </c>
    </row>
    <row r="152" spans="1:7" ht="14.4">
      <c r="A152"/>
      <c r="B152"/>
      <c r="C152"/>
      <c r="D152"/>
      <c r="E152" s="19" t="s">
        <v>404</v>
      </c>
      <c r="F152" s="12">
        <v>0</v>
      </c>
      <c r="G152" s="19" t="s">
        <v>163</v>
      </c>
    </row>
    <row r="153" spans="1:7" ht="14.4">
      <c r="A153"/>
      <c r="B153"/>
      <c r="C153"/>
      <c r="D153"/>
      <c r="E153" s="19" t="s">
        <v>405</v>
      </c>
      <c r="F153" s="12">
        <v>1</v>
      </c>
      <c r="G153" s="19" t="s">
        <v>164</v>
      </c>
    </row>
    <row r="154" spans="1:7">
      <c r="A154" s="37">
        <v>45</v>
      </c>
      <c r="B154" s="14">
        <v>1</v>
      </c>
      <c r="C154" s="20" t="s">
        <v>165</v>
      </c>
      <c r="D154" s="20" t="s">
        <v>166</v>
      </c>
      <c r="E154" s="2" t="s">
        <v>263</v>
      </c>
      <c r="F154" s="13" t="s">
        <v>54</v>
      </c>
    </row>
    <row r="155" spans="1:7" ht="14.4">
      <c r="A155"/>
      <c r="B155"/>
      <c r="C155"/>
      <c r="D155"/>
      <c r="E155" s="20" t="s">
        <v>272</v>
      </c>
      <c r="F155" s="13"/>
    </row>
    <row r="156" spans="1:7" ht="14.4">
      <c r="A156"/>
      <c r="B156"/>
      <c r="C156"/>
      <c r="D156"/>
      <c r="E156" s="20" t="s">
        <v>146</v>
      </c>
      <c r="F156" s="14">
        <v>-1</v>
      </c>
    </row>
    <row r="157" spans="1:7" ht="14.4">
      <c r="A157"/>
      <c r="B157"/>
      <c r="C157"/>
      <c r="D157"/>
      <c r="E157" s="20" t="s">
        <v>265</v>
      </c>
      <c r="F157" s="14">
        <v>0</v>
      </c>
      <c r="G157" s="71" t="s">
        <v>355</v>
      </c>
    </row>
    <row r="158" spans="1:7" ht="14.4">
      <c r="A158"/>
      <c r="B158"/>
      <c r="C158"/>
      <c r="D158"/>
      <c r="E158" s="20" t="s">
        <v>266</v>
      </c>
      <c r="F158" s="14">
        <v>1</v>
      </c>
      <c r="G158" s="71" t="s">
        <v>356</v>
      </c>
    </row>
    <row r="159" spans="1:7" ht="14.4">
      <c r="A159"/>
      <c r="B159"/>
      <c r="C159"/>
      <c r="D159"/>
      <c r="E159" s="20" t="s">
        <v>267</v>
      </c>
      <c r="F159" s="14">
        <v>2</v>
      </c>
      <c r="G159" s="71" t="s">
        <v>357</v>
      </c>
    </row>
    <row r="160" spans="1:7" ht="26.4">
      <c r="A160"/>
      <c r="B160"/>
      <c r="C160"/>
      <c r="D160"/>
      <c r="E160" s="20" t="s">
        <v>268</v>
      </c>
      <c r="F160" s="14">
        <v>3</v>
      </c>
      <c r="G160" s="71" t="s">
        <v>358</v>
      </c>
    </row>
    <row r="161" spans="1:7">
      <c r="A161" s="12">
        <v>46</v>
      </c>
      <c r="B161" s="12">
        <v>1</v>
      </c>
      <c r="C161" s="19" t="s">
        <v>167</v>
      </c>
      <c r="D161" s="19" t="s">
        <v>168</v>
      </c>
      <c r="E161" s="1" t="s">
        <v>264</v>
      </c>
      <c r="F161" s="11" t="s">
        <v>54</v>
      </c>
    </row>
    <row r="162" spans="1:7" ht="14.4">
      <c r="A162"/>
      <c r="B162"/>
      <c r="C162"/>
      <c r="D162"/>
      <c r="E162" s="19" t="s">
        <v>269</v>
      </c>
      <c r="F162" s="11"/>
    </row>
    <row r="163" spans="1:7" ht="14.4">
      <c r="A163"/>
      <c r="B163"/>
      <c r="C163"/>
      <c r="D163"/>
      <c r="E163" s="19" t="s">
        <v>169</v>
      </c>
      <c r="F163" s="12">
        <v>-1</v>
      </c>
      <c r="G163" s="72" t="s">
        <v>169</v>
      </c>
    </row>
    <row r="164" spans="1:7" ht="14.4">
      <c r="A164"/>
      <c r="B164"/>
      <c r="C164"/>
      <c r="D164"/>
      <c r="E164" s="19" t="s">
        <v>270</v>
      </c>
      <c r="F164" s="12">
        <v>0</v>
      </c>
      <c r="G164" s="72" t="s">
        <v>359</v>
      </c>
    </row>
    <row r="165" spans="1:7" ht="14.4">
      <c r="A165"/>
      <c r="B165"/>
      <c r="C165"/>
      <c r="D165"/>
      <c r="E165" s="19" t="s">
        <v>271</v>
      </c>
      <c r="F165" s="12">
        <v>1</v>
      </c>
      <c r="G165" s="72" t="s">
        <v>360</v>
      </c>
    </row>
    <row r="166" spans="1:7" ht="26.4">
      <c r="A166" s="37">
        <v>47</v>
      </c>
      <c r="B166" s="14"/>
      <c r="C166" s="20" t="s">
        <v>170</v>
      </c>
      <c r="D166" s="20" t="s">
        <v>168</v>
      </c>
      <c r="E166"/>
      <c r="F166"/>
    </row>
    <row r="167" spans="1:7" ht="14.4">
      <c r="A167" s="36">
        <v>48</v>
      </c>
      <c r="B167" s="12">
        <v>7</v>
      </c>
      <c r="C167" s="19" t="s">
        <v>171</v>
      </c>
      <c r="D167" s="12"/>
      <c r="E167"/>
      <c r="F167"/>
    </row>
    <row r="168" spans="1:7" ht="79.2">
      <c r="A168" s="37">
        <v>49</v>
      </c>
      <c r="B168" s="14"/>
      <c r="C168" s="20" t="s">
        <v>172</v>
      </c>
      <c r="D168" s="20" t="s">
        <v>273</v>
      </c>
      <c r="E168" s="2" t="s">
        <v>274</v>
      </c>
      <c r="F168" s="13" t="s">
        <v>54</v>
      </c>
    </row>
    <row r="169" spans="1:7" ht="14.4">
      <c r="A169"/>
      <c r="B169"/>
      <c r="C169"/>
      <c r="D169"/>
      <c r="E169" s="20" t="s">
        <v>275</v>
      </c>
      <c r="F169" s="13"/>
      <c r="G169"/>
    </row>
    <row r="170" spans="1:7" ht="26.4">
      <c r="A170"/>
      <c r="B170"/>
      <c r="C170"/>
      <c r="D170"/>
      <c r="E170" s="20" t="s">
        <v>361</v>
      </c>
      <c r="F170" s="14">
        <v>0</v>
      </c>
      <c r="G170"/>
    </row>
    <row r="171" spans="1:7" ht="26.4">
      <c r="A171"/>
      <c r="B171"/>
      <c r="C171"/>
      <c r="D171"/>
      <c r="E171" s="20" t="s">
        <v>391</v>
      </c>
      <c r="F171" s="14">
        <v>1</v>
      </c>
      <c r="G171"/>
    </row>
    <row r="172" spans="1:7" ht="26.4">
      <c r="A172"/>
      <c r="B172"/>
      <c r="C172"/>
      <c r="D172"/>
      <c r="E172" s="20" t="s">
        <v>392</v>
      </c>
      <c r="F172" s="14">
        <v>2</v>
      </c>
      <c r="G172"/>
    </row>
    <row r="173" spans="1:7" ht="26.4">
      <c r="A173"/>
      <c r="B173"/>
      <c r="C173"/>
      <c r="D173"/>
      <c r="E173" s="20" t="s">
        <v>393</v>
      </c>
      <c r="F173" s="14">
        <v>3</v>
      </c>
      <c r="G173"/>
    </row>
    <row r="174" spans="1:7" ht="26.4">
      <c r="A174"/>
      <c r="B174"/>
      <c r="C174" s="20" t="s">
        <v>635</v>
      </c>
      <c r="D174" s="279" t="s">
        <v>636</v>
      </c>
      <c r="E174" s="20" t="s">
        <v>637</v>
      </c>
      <c r="F174" s="186"/>
      <c r="G174"/>
    </row>
    <row r="175" spans="1:7" ht="14.4">
      <c r="A175"/>
      <c r="B175"/>
      <c r="C175" s="20"/>
      <c r="D175" s="278"/>
      <c r="E175" s="20"/>
      <c r="F175" s="186"/>
      <c r="G175"/>
    </row>
    <row r="176" spans="1:7" ht="14.4">
      <c r="A176"/>
      <c r="B176"/>
      <c r="C176" s="20"/>
      <c r="D176" s="278"/>
      <c r="E176" s="20" t="s">
        <v>638</v>
      </c>
      <c r="F176" s="186"/>
      <c r="G176"/>
    </row>
    <row r="177" spans="1:7" ht="26.4">
      <c r="A177"/>
      <c r="B177"/>
      <c r="C177" s="20"/>
      <c r="D177" s="278"/>
      <c r="E177" s="20" t="s">
        <v>639</v>
      </c>
      <c r="F177" s="289" t="s">
        <v>654</v>
      </c>
      <c r="G177" s="30" t="s">
        <v>653</v>
      </c>
    </row>
    <row r="178" spans="1:7" ht="15.6">
      <c r="A178"/>
      <c r="B178"/>
      <c r="C178" s="20"/>
      <c r="D178" s="278"/>
      <c r="E178" s="20" t="s">
        <v>640</v>
      </c>
      <c r="F178" s="186" t="s">
        <v>642</v>
      </c>
      <c r="G178"/>
    </row>
    <row r="179" spans="1:7" ht="15.6">
      <c r="A179"/>
      <c r="B179"/>
      <c r="C179" s="20"/>
      <c r="D179" s="278"/>
      <c r="E179" s="20" t="s">
        <v>641</v>
      </c>
      <c r="F179" s="186" t="s">
        <v>643</v>
      </c>
      <c r="G179"/>
    </row>
    <row r="180" spans="1:7" ht="26.4">
      <c r="A180" s="36">
        <v>50</v>
      </c>
      <c r="B180" s="12">
        <v>6</v>
      </c>
      <c r="C180" s="19" t="s">
        <v>173</v>
      </c>
      <c r="D180"/>
      <c r="E180"/>
      <c r="F180"/>
    </row>
    <row r="181" spans="1:7" ht="26.4">
      <c r="A181" s="37">
        <v>51</v>
      </c>
      <c r="B181" s="14">
        <v>6</v>
      </c>
      <c r="C181" s="20" t="s">
        <v>174</v>
      </c>
      <c r="D181"/>
      <c r="E181"/>
      <c r="F181"/>
    </row>
    <row r="182" spans="1:7" ht="14.4">
      <c r="A182" s="37"/>
      <c r="B182" s="14"/>
      <c r="C182" s="20"/>
      <c r="D182"/>
      <c r="E182" s="20"/>
      <c r="F182" s="186"/>
    </row>
    <row r="183" spans="1:7" ht="14.4">
      <c r="A183" s="37"/>
      <c r="B183" s="14"/>
      <c r="C183" s="20"/>
      <c r="D183"/>
      <c r="E183" s="20" t="s">
        <v>638</v>
      </c>
      <c r="F183" s="186"/>
    </row>
    <row r="184" spans="1:7" ht="26.4">
      <c r="A184" s="37"/>
      <c r="B184" s="14"/>
      <c r="C184" s="20"/>
      <c r="D184"/>
      <c r="E184" s="20" t="s">
        <v>639</v>
      </c>
      <c r="F184" s="289" t="s">
        <v>654</v>
      </c>
      <c r="G184" s="30" t="s">
        <v>655</v>
      </c>
    </row>
    <row r="185" spans="1:7" ht="15.6">
      <c r="A185" s="37"/>
      <c r="B185" s="14"/>
      <c r="C185" s="20"/>
      <c r="D185"/>
      <c r="E185" s="20" t="s">
        <v>640</v>
      </c>
      <c r="F185" s="186" t="s">
        <v>644</v>
      </c>
    </row>
    <row r="186" spans="1:7" ht="15.6">
      <c r="A186" s="37"/>
      <c r="B186" s="14"/>
      <c r="C186" s="20"/>
      <c r="D186"/>
      <c r="E186" s="20" t="s">
        <v>641</v>
      </c>
      <c r="F186" s="186" t="s">
        <v>645</v>
      </c>
    </row>
    <row r="187" spans="1:7" ht="26.4">
      <c r="A187" s="36">
        <v>52</v>
      </c>
      <c r="B187" s="12">
        <v>6</v>
      </c>
      <c r="C187" s="19" t="s">
        <v>175</v>
      </c>
      <c r="D187"/>
      <c r="E187"/>
      <c r="F187"/>
    </row>
    <row r="188" spans="1:7" ht="14.4">
      <c r="A188" s="36"/>
      <c r="B188" s="12"/>
      <c r="C188" s="19"/>
      <c r="D188"/>
      <c r="E188" s="20"/>
      <c r="F188" s="186"/>
    </row>
    <row r="189" spans="1:7" ht="14.4">
      <c r="A189" s="36"/>
      <c r="B189" s="12"/>
      <c r="C189" s="19"/>
      <c r="D189"/>
      <c r="E189" s="20" t="s">
        <v>638</v>
      </c>
      <c r="F189" s="186"/>
    </row>
    <row r="190" spans="1:7" ht="26.4">
      <c r="A190" s="36"/>
      <c r="B190" s="12"/>
      <c r="C190" s="19"/>
      <c r="D190"/>
      <c r="E190" s="20" t="s">
        <v>639</v>
      </c>
      <c r="F190" s="289" t="s">
        <v>654</v>
      </c>
      <c r="G190" s="30" t="s">
        <v>646</v>
      </c>
    </row>
    <row r="191" spans="1:7" ht="14.4">
      <c r="A191" s="36"/>
      <c r="B191" s="12"/>
      <c r="C191" s="19"/>
      <c r="D191"/>
      <c r="E191" s="20" t="s">
        <v>640</v>
      </c>
      <c r="F191" s="186" t="s">
        <v>648</v>
      </c>
    </row>
    <row r="192" spans="1:7" ht="14.4">
      <c r="A192" s="36"/>
      <c r="B192" s="12"/>
      <c r="C192" s="19"/>
      <c r="D192"/>
      <c r="E192" s="20" t="s">
        <v>641</v>
      </c>
      <c r="F192" s="186" t="s">
        <v>647</v>
      </c>
    </row>
    <row r="193" spans="1:7" ht="26.4">
      <c r="A193" s="37">
        <v>53</v>
      </c>
      <c r="B193" s="14">
        <v>6</v>
      </c>
      <c r="C193" s="20" t="s">
        <v>176</v>
      </c>
      <c r="D193"/>
      <c r="E193"/>
      <c r="F193"/>
    </row>
    <row r="194" spans="1:7" ht="14.4">
      <c r="A194" s="37"/>
      <c r="B194" s="14"/>
      <c r="C194" s="20"/>
      <c r="D194"/>
      <c r="E194"/>
      <c r="F194"/>
    </row>
    <row r="195" spans="1:7" ht="26.4">
      <c r="A195" s="36">
        <v>54</v>
      </c>
      <c r="B195" s="12">
        <v>6</v>
      </c>
      <c r="C195" s="19" t="s">
        <v>177</v>
      </c>
      <c r="D195"/>
      <c r="E195"/>
      <c r="F195"/>
    </row>
    <row r="196" spans="1:7" ht="26.4">
      <c r="A196" s="37">
        <v>55</v>
      </c>
      <c r="B196" s="14">
        <v>6</v>
      </c>
      <c r="C196" s="5" t="s">
        <v>178</v>
      </c>
      <c r="D196"/>
      <c r="E196"/>
      <c r="F196"/>
    </row>
    <row r="198" spans="1:7">
      <c r="F198" s="45" t="s">
        <v>276</v>
      </c>
    </row>
    <row r="199" spans="1:7">
      <c r="F199" s="45" t="s">
        <v>224</v>
      </c>
    </row>
    <row r="200" spans="1:7">
      <c r="F200" s="45" t="s">
        <v>100</v>
      </c>
    </row>
    <row r="201" spans="1:7">
      <c r="F201" s="45" t="s">
        <v>99</v>
      </c>
    </row>
    <row r="202" spans="1:7" ht="158.4">
      <c r="C202" s="112" t="s">
        <v>284</v>
      </c>
      <c r="G202" s="190" t="s">
        <v>525</v>
      </c>
    </row>
    <row r="203" spans="1:7" ht="57.6">
      <c r="C203" s="112" t="s">
        <v>285</v>
      </c>
      <c r="G203" s="190" t="s">
        <v>521</v>
      </c>
    </row>
    <row r="204" spans="1:7" ht="52.8">
      <c r="C204" s="112" t="s">
        <v>286</v>
      </c>
      <c r="G204" s="80" t="s">
        <v>522</v>
      </c>
    </row>
    <row r="205" spans="1:7" ht="52.8">
      <c r="C205" s="112" t="s">
        <v>287</v>
      </c>
      <c r="G205" s="80" t="s">
        <v>523</v>
      </c>
    </row>
    <row r="206" spans="1:7" ht="92.4">
      <c r="C206" s="112" t="str">
        <f>CONCATENATE("Master Model 'Brand Name'
",IF(E201="YES"," - the boiler is badged from another model so this entry must be completed."," - the boiler is not badged from another model so this entry must NOT be completed."))</f>
        <v>Master Model 'Brand Name'
 - the boiler is not badged from another model so this entry must NOT be completed.</v>
      </c>
      <c r="G206" s="80" t="s">
        <v>500</v>
      </c>
    </row>
    <row r="207" spans="1:7" ht="92.4">
      <c r="C207" s="112" t="str">
        <f>CONCATENATE("Master Model 'Model Name'
",IF(E201="YES"," - the boiler is badged from another model so this entry must be completed."," - the boiler is not badged from another model so this entry must NOT be completed."))</f>
        <v>Master Model 'Model Name'
 - the boiler is not badged from another model so this entry must NOT be completed.</v>
      </c>
      <c r="G207" s="80" t="s">
        <v>501</v>
      </c>
    </row>
    <row r="208" spans="1:7" ht="92.4">
      <c r="C208" s="112" t="str">
        <f>CONCATENATE("Master Model 'Model Qualifier'
",IF(E201="YES"," - the boiler is badged from another model so this entry must be completed."," - the boiler is not badged from another model so this entry must NOT be completed."))</f>
        <v>Master Model 'Model Qualifier'
 - the boiler is not badged from another model so this entry must NOT be completed.</v>
      </c>
      <c r="G208" s="80" t="s">
        <v>502</v>
      </c>
    </row>
    <row r="209" spans="3:7" ht="66">
      <c r="C209" s="148" t="s">
        <v>277</v>
      </c>
      <c r="G209" s="80" t="s">
        <v>526</v>
      </c>
    </row>
    <row r="210" spans="3:7" ht="26.4">
      <c r="C210" s="128" t="s">
        <v>187</v>
      </c>
      <c r="G210" s="80" t="s">
        <v>503</v>
      </c>
    </row>
    <row r="211" spans="3:7" ht="52.8">
      <c r="C211" s="128" t="s">
        <v>189</v>
      </c>
      <c r="G211" s="80" t="s">
        <v>504</v>
      </c>
    </row>
    <row r="212" spans="3:7" ht="26.4">
      <c r="C212" s="133" t="s">
        <v>191</v>
      </c>
      <c r="G212" s="80" t="s">
        <v>505</v>
      </c>
    </row>
    <row r="213" spans="3:7" ht="26.4">
      <c r="C213" s="133" t="s">
        <v>193</v>
      </c>
      <c r="G213" s="80" t="s">
        <v>506</v>
      </c>
    </row>
    <row r="214" spans="3:7" ht="57.6">
      <c r="C214" s="133" t="s">
        <v>290</v>
      </c>
      <c r="G214" s="80" t="s">
        <v>507</v>
      </c>
    </row>
    <row r="215" spans="3:7" ht="57.6">
      <c r="C215" s="133" t="s">
        <v>291</v>
      </c>
      <c r="G215" s="80" t="s">
        <v>507</v>
      </c>
    </row>
  </sheetData>
  <mergeCells count="1">
    <mergeCell ref="C3: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10"/>
  <sheetViews>
    <sheetView showGridLines="0" workbookViewId="0">
      <selection activeCell="A37" sqref="A37"/>
    </sheetView>
  </sheetViews>
  <sheetFormatPr defaultRowHeight="14.4"/>
  <cols>
    <col min="1" max="1" width="13.109375" customWidth="1"/>
    <col min="2" max="2" width="22.33203125" customWidth="1"/>
    <col min="3" max="3" width="12.44140625" customWidth="1"/>
    <col min="4" max="4" width="15.6640625" customWidth="1"/>
    <col min="5" max="5" width="17.5546875" customWidth="1"/>
    <col min="6" max="6" width="15.33203125" customWidth="1"/>
    <col min="7" max="7" width="19.109375" customWidth="1"/>
    <col min="8" max="8" width="16.109375" customWidth="1"/>
    <col min="9" max="9" width="15" customWidth="1"/>
    <col min="10" max="10" width="13.5546875" customWidth="1"/>
  </cols>
  <sheetData>
    <row r="1" spans="1:10" ht="15" thickBot="1">
      <c r="A1" s="305" t="s">
        <v>563</v>
      </c>
      <c r="B1" s="305"/>
      <c r="C1" s="305"/>
      <c r="D1" s="305"/>
      <c r="E1" s="305"/>
      <c r="F1" s="305"/>
      <c r="G1" s="305"/>
      <c r="H1" s="305"/>
      <c r="I1" s="305"/>
      <c r="J1" s="305"/>
    </row>
    <row r="2" spans="1:10" ht="65.400000000000006" customHeight="1" thickBot="1">
      <c r="A2" s="227" t="s">
        <v>548</v>
      </c>
      <c r="B2" s="228" t="s">
        <v>564</v>
      </c>
      <c r="C2" s="228" t="s">
        <v>550</v>
      </c>
      <c r="D2" s="228" t="s">
        <v>551</v>
      </c>
      <c r="E2" s="228" t="s">
        <v>552</v>
      </c>
      <c r="F2" s="228" t="s">
        <v>553</v>
      </c>
      <c r="G2" s="228" t="s">
        <v>554</v>
      </c>
      <c r="H2" s="228" t="s">
        <v>555</v>
      </c>
      <c r="I2" s="228" t="s">
        <v>556</v>
      </c>
      <c r="J2" s="228" t="s">
        <v>557</v>
      </c>
    </row>
    <row r="3" spans="1:10" ht="15" thickBot="1">
      <c r="A3" s="239" t="s">
        <v>99</v>
      </c>
      <c r="B3" s="239" t="s">
        <v>99</v>
      </c>
      <c r="C3" s="239" t="s">
        <v>99</v>
      </c>
      <c r="D3" s="239" t="s">
        <v>99</v>
      </c>
      <c r="E3" s="239" t="s">
        <v>99</v>
      </c>
      <c r="F3" s="239" t="s">
        <v>99</v>
      </c>
      <c r="G3" s="239" t="s">
        <v>99</v>
      </c>
      <c r="H3" s="239" t="s">
        <v>99</v>
      </c>
      <c r="I3" s="239" t="s">
        <v>99</v>
      </c>
      <c r="J3" s="239" t="s">
        <v>99</v>
      </c>
    </row>
    <row r="5" spans="1:10">
      <c r="A5" s="226"/>
    </row>
    <row r="6" spans="1:10">
      <c r="A6" s="238" t="str">
        <f>IF('Submission Form'!D22="YES","SELECT YES FOR RELEVANT COMPATIBLE CONTROLS, FOLLOW ANY RULES SHOWN IN THE POP-UP BOX","THIS BOILER HAS NOT BEEN DECLARED COMPATIBLE WITH SPECIFIC COMPENSATING CONTROL(S), SO THIS TABLE SHOULD NOT BE COMPLETED.")</f>
        <v>THIS BOILER HAS NOT BEEN DECLARED COMPATIBLE WITH SPECIFIC COMPENSATING CONTROL(S), SO THIS TABLE SHOULD NOT BE COMPLETED.</v>
      </c>
    </row>
    <row r="7" spans="1:10">
      <c r="A7" s="238" t="str">
        <f>IF('Submission Form'!D22="YES","","IF INCORRECT, PLEASE REVIEW THE 'SUBMISSION FORM' WORKSHEET")</f>
        <v>IF INCORRECT, PLEASE REVIEW THE 'SUBMISSION FORM' WORKSHEET</v>
      </c>
    </row>
    <row r="9" spans="1:10">
      <c r="A9" t="s">
        <v>579</v>
      </c>
    </row>
    <row r="10" spans="1:10">
      <c r="A10" s="240" t="s">
        <v>580</v>
      </c>
    </row>
  </sheetData>
  <sheetProtection algorithmName="SHA-512" hashValue="06O5LtqXwIVF7rKuyPRSo7i1f8QEVLIP4kJsXVvZmo5zbPt8BskqkcwkDTH40KNY5Z3ytFKDVPtSdBQxYe2w/g==" saltValue="/s6DehXuvV1t5cmST67+wA==" spinCount="100000" sheet="1" objects="1" scenarios="1"/>
  <mergeCells count="1">
    <mergeCell ref="A1:J1"/>
  </mergeCells>
  <hyperlinks>
    <hyperlink ref="A10" r:id="rId1" xr:uid="{00000000-0004-0000-0500-000000000000}"/>
  </hyperlinks>
  <pageMargins left="0.7" right="0.7" top="0.75" bottom="0.75" header="0.3" footer="0.3"/>
  <legacyDrawing r:id="rId2"/>
  <extLst>
    <ext xmlns:x14="http://schemas.microsoft.com/office/spreadsheetml/2009/9/main" uri="{78C0D931-6437-407d-A8EE-F0AAD7539E65}">
      <x14:conditionalFormattings>
        <x14:conditionalFormatting xmlns:xm="http://schemas.microsoft.com/office/excel/2006/main">
          <x14:cfRule type="expression" priority="1" id="{0099D727-295F-4497-9419-EA65EBFA58F8}">
            <xm:f>'Submission Form'!D22="YES"</xm:f>
            <x14:dxf>
              <font>
                <color theme="1"/>
              </font>
            </x14:dxf>
          </x14:cfRule>
          <xm:sqref>A6</xm:sqref>
        </x14:conditionalFormatting>
      </x14:conditionalFormattings>
    </ext>
    <ext xmlns:x14="http://schemas.microsoft.com/office/spreadsheetml/2009/9/main" uri="{CCE6A557-97BC-4b89-ADB6-D9C93CAAB3DF}">
      <x14:dataValidations xmlns:xm="http://schemas.microsoft.com/office/excel/2006/main" xWindow="669" yWindow="494" count="10">
        <x14:dataValidation type="list" allowBlank="1" showInputMessage="1" showErrorMessage="1" promptTitle="Control compatibility" prompt="Select &quot;YES&quot; if boiler is compatible with this control type. Otherwise, select &quot;NO&quot; or leave blank." xr:uid="{00000000-0002-0000-0500-000000000000}">
          <x14:formula1>
            <xm:f>'Table 372 - Features'!$E$4:$E$5</xm:f>
          </x14:formula1>
          <xm:sqref>A3</xm:sqref>
        </x14:dataValidation>
        <x14:dataValidation type="list" allowBlank="1" showInputMessage="1" showErrorMessage="1" promptTitle="Control compatibility" prompt="Select &quot;YES&quot; if boiler is compatible with this control type. Otherwise, select &quot;NO&quot; or leave blank._x000a__x000a_This generic option should be selected ONLY if an alternative weather compensation control option is unavailable from the list." xr:uid="{00000000-0002-0000-0500-000001000000}">
          <x14:formula1>
            <xm:f>'Table 372 - Features'!$F$4:$F$5</xm:f>
          </x14:formula1>
          <xm:sqref>B3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2000000}">
          <x14:formula1>
            <xm:f>'Table 372 - Features'!$G$4:$G$5</xm:f>
          </x14:formula1>
          <xm:sqref>C3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3000000}">
          <x14:formula1>
            <xm:f>'Table 372 - Features'!$H$4:$H$5</xm:f>
          </x14:formula1>
          <xm:sqref>D3</xm:sqref>
        </x14:dataValidation>
        <x14:dataValidation type="list" allowBlank="1" showInputMessage="1" showErrorMessage="1" promptTitle="Control compatibility" prompt="Select &quot;YES&quot; if boiler is compatible with this control type. Otherwise, select &quot;NO&quot; or leave blank." xr:uid="{00000000-0002-0000-0500-000004000000}">
          <x14:formula1>
            <xm:f>'Table 372 - Features'!$I$4:$I$5</xm:f>
          </x14:formula1>
          <xm:sqref>E3</xm:sqref>
        </x14:dataValidation>
        <x14:dataValidation type="list" allowBlank="1" showInputMessage="1" showErrorMessage="1" promptTitle="Control compatibility" prompt="Select &quot;YES&quot; if boiler is compatible with this control type. Otherwise, select &quot;NO&quot; or leave blank." xr:uid="{00000000-0002-0000-0500-000005000000}">
          <x14:formula1>
            <xm:f>'Table 372 - Features'!$J$4:$J$5</xm:f>
          </x14:formula1>
          <xm:sqref>F3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6000000}">
          <x14:formula1>
            <xm:f>'Table 372 - Features'!$K$4:$K$5</xm:f>
          </x14:formula1>
          <xm:sqref>G3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7000000}">
          <x14:formula1>
            <xm:f>'Table 372 - Features'!$L$4:$L$5</xm:f>
          </x14:formula1>
          <xm:sqref>H3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8000000}">
          <x14:formula1>
            <xm:f>'Table 372 - Features'!$M$4:$M$5</xm:f>
          </x14:formula1>
          <xm:sqref>I3</xm:sqref>
        </x14:dataValidation>
        <x14:dataValidation type="list" allowBlank="1" showInputMessage="1" showErrorMessage="1" promptTitle="Control compatibility" prompt="Select &quot;YES&quot; if boiler is compatible with this control type. Otherwise, select &quot;NO&quot; or leave blank._x000a__x000a_The &quot;Ecodesign Class II&quot; control type should never be selected with this control type." xr:uid="{00000000-0002-0000-0500-000009000000}">
          <x14:formula1>
            <xm:f>'Table 372 - Features'!$N$4:$N$5</xm:f>
          </x14:formula1>
          <xm:sqref>J3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O44"/>
  <sheetViews>
    <sheetView showGridLines="0" zoomScale="85" zoomScaleNormal="85" workbookViewId="0">
      <selection activeCell="A23" sqref="A23"/>
    </sheetView>
  </sheetViews>
  <sheetFormatPr defaultColWidth="0" defaultRowHeight="13.2" zeroHeight="1"/>
  <cols>
    <col min="1" max="1" width="91" style="81" customWidth="1"/>
    <col min="2" max="2" width="33.33203125" style="81" customWidth="1"/>
    <col min="3" max="3" width="10.6640625" style="59" customWidth="1"/>
    <col min="4" max="4" width="52.33203125" style="81" customWidth="1"/>
    <col min="5" max="15" width="9.109375" style="81" customWidth="1"/>
    <col min="16" max="16384" width="9.109375" style="81" hidden="1"/>
  </cols>
  <sheetData>
    <row r="1" spans="1:15" customFormat="1" ht="42.75" customHeight="1">
      <c r="A1" s="306" t="s">
        <v>458</v>
      </c>
      <c r="B1" s="306"/>
      <c r="C1" s="306"/>
      <c r="D1" s="306"/>
      <c r="G1" s="95"/>
      <c r="O1" s="293"/>
    </row>
    <row r="2" spans="1:15" ht="39.6">
      <c r="A2" s="86" t="s">
        <v>441</v>
      </c>
      <c r="D2" s="212" t="str">
        <f>Instructions!B2</f>
        <v>Version 1.9</v>
      </c>
    </row>
    <row r="3" spans="1:15" ht="26.4">
      <c r="A3" s="86" t="s">
        <v>444</v>
      </c>
    </row>
    <row r="4" spans="1:15" ht="26.4">
      <c r="A4" s="86" t="s">
        <v>446</v>
      </c>
    </row>
    <row r="5" spans="1:15" ht="17.25" customHeight="1">
      <c r="A5" s="86" t="s">
        <v>447</v>
      </c>
    </row>
    <row r="6" spans="1:15" ht="54.75" customHeight="1">
      <c r="A6" s="87" t="s">
        <v>406</v>
      </c>
      <c r="B6" s="87" t="s">
        <v>448</v>
      </c>
      <c r="C6" s="88" t="s">
        <v>418</v>
      </c>
      <c r="D6" s="89" t="s">
        <v>419</v>
      </c>
    </row>
    <row r="7" spans="1:15" ht="17.25" customHeight="1">
      <c r="A7" s="87" t="s">
        <v>414</v>
      </c>
      <c r="B7" s="87" t="s">
        <v>415</v>
      </c>
      <c r="C7" s="90" t="s">
        <v>224</v>
      </c>
      <c r="D7" s="180"/>
    </row>
    <row r="8" spans="1:15" ht="17.25" customHeight="1">
      <c r="A8" s="87" t="s">
        <v>407</v>
      </c>
      <c r="B8" s="87" t="s">
        <v>415</v>
      </c>
      <c r="C8" s="90" t="s">
        <v>224</v>
      </c>
      <c r="D8" s="180"/>
    </row>
    <row r="9" spans="1:15" ht="17.25" customHeight="1">
      <c r="A9" s="87" t="s">
        <v>408</v>
      </c>
      <c r="B9" s="87" t="s">
        <v>416</v>
      </c>
      <c r="C9" s="90" t="s">
        <v>224</v>
      </c>
      <c r="D9" s="180"/>
    </row>
    <row r="10" spans="1:15" ht="44.25" customHeight="1">
      <c r="A10" s="198" t="s">
        <v>484</v>
      </c>
      <c r="B10" s="87" t="s">
        <v>417</v>
      </c>
      <c r="C10" s="90" t="s">
        <v>224</v>
      </c>
      <c r="D10" s="180"/>
    </row>
    <row r="11" spans="1:15" ht="17.25" customHeight="1">
      <c r="A11" s="87" t="s">
        <v>485</v>
      </c>
      <c r="B11" s="87" t="s">
        <v>415</v>
      </c>
      <c r="C11" s="90" t="s">
        <v>224</v>
      </c>
      <c r="D11" s="180"/>
    </row>
    <row r="12" spans="1:15" ht="17.25" customHeight="1">
      <c r="A12" s="87" t="s">
        <v>486</v>
      </c>
      <c r="B12" s="87" t="s">
        <v>415</v>
      </c>
      <c r="C12" s="90" t="s">
        <v>224</v>
      </c>
      <c r="D12" s="180"/>
    </row>
    <row r="13" spans="1:15" ht="17.25" customHeight="1">
      <c r="A13" s="87" t="s">
        <v>409</v>
      </c>
      <c r="B13" s="87" t="s">
        <v>415</v>
      </c>
      <c r="C13" s="90" t="s">
        <v>224</v>
      </c>
      <c r="D13" s="180"/>
    </row>
    <row r="14" spans="1:15" ht="17.25" customHeight="1">
      <c r="A14" s="87" t="s">
        <v>411</v>
      </c>
      <c r="B14" s="87" t="s">
        <v>415</v>
      </c>
      <c r="C14" s="90" t="s">
        <v>224</v>
      </c>
      <c r="D14" s="180"/>
    </row>
    <row r="15" spans="1:15" ht="17.25" customHeight="1">
      <c r="A15" s="87" t="s">
        <v>412</v>
      </c>
      <c r="B15" s="87" t="s">
        <v>415</v>
      </c>
      <c r="C15" s="90" t="s">
        <v>224</v>
      </c>
      <c r="D15" s="180"/>
    </row>
    <row r="16" spans="1:15" ht="17.25" customHeight="1">
      <c r="A16" s="87" t="s">
        <v>413</v>
      </c>
      <c r="B16" s="87" t="s">
        <v>415</v>
      </c>
      <c r="C16" s="90" t="s">
        <v>224</v>
      </c>
      <c r="D16" s="180"/>
    </row>
    <row r="17" spans="1:4" ht="26.25" customHeight="1" thickBot="1">
      <c r="A17" s="81" t="s">
        <v>442</v>
      </c>
    </row>
    <row r="18" spans="1:4" ht="18" customHeight="1" thickBot="1">
      <c r="A18" s="93"/>
    </row>
    <row r="19" spans="1:4" ht="21.75" customHeight="1" thickBot="1">
      <c r="A19" s="81" t="s">
        <v>445</v>
      </c>
    </row>
    <row r="20" spans="1:4" ht="18" customHeight="1" thickBot="1">
      <c r="A20" s="93"/>
    </row>
    <row r="21" spans="1:4" ht="92.4">
      <c r="A21" s="91" t="s">
        <v>456</v>
      </c>
      <c r="B21" s="284" t="s">
        <v>650</v>
      </c>
    </row>
    <row r="22" spans="1:4" ht="21.75" customHeight="1" thickBot="1">
      <c r="A22" s="81" t="s">
        <v>443</v>
      </c>
    </row>
    <row r="23" spans="1:4" ht="81.75" customHeight="1" thickBot="1">
      <c r="A23" s="93"/>
      <c r="C23" s="285"/>
      <c r="D23" s="286"/>
    </row>
    <row r="24" spans="1:4" hidden="1">
      <c r="C24" s="81"/>
    </row>
    <row r="25" spans="1:4" hidden="1">
      <c r="C25" s="81"/>
    </row>
    <row r="26" spans="1:4" hidden="1">
      <c r="C26" s="81"/>
    </row>
    <row r="27" spans="1:4" hidden="1"/>
    <row r="28" spans="1:4" hidden="1"/>
    <row r="29" spans="1:4" hidden="1"/>
    <row r="30" spans="1:4" hidden="1"/>
    <row r="31" spans="1:4" hidden="1"/>
    <row r="32" spans="1:4" hidden="1"/>
    <row r="33" hidden="1"/>
    <row r="34" hidden="1"/>
    <row r="35" hidden="1"/>
    <row r="36" hidden="1"/>
    <row r="37" hidden="1"/>
    <row r="38" hidden="1"/>
    <row r="39" hidden="1"/>
    <row r="40" hidden="1"/>
    <row r="41" hidden="1"/>
    <row r="42" hidden="1"/>
    <row r="43" hidden="1"/>
    <row r="44" hidden="1"/>
  </sheetData>
  <sheetProtection algorithmName="SHA-512" hashValue="HXS5Xc2HlDey9NFj3pYzIeBp7jLIV8guVQYjYZmiZCoyyUAfraTC8M8mDMvkS0EgRAzcfoOLu8sGx5iAWhpArw==" saltValue="0IszWIOJXon2GmmrpW6fww==" spinCount="100000" sheet="1" objects="1" scenarios="1" formatRows="0" selectLockedCells="1"/>
  <mergeCells count="1">
    <mergeCell ref="A1:D1"/>
  </mergeCells>
  <dataValidations count="1">
    <dataValidation type="list" allowBlank="1" showInputMessage="1" showErrorMessage="1" sqref="C7:C16" xr:uid="{00000000-0002-0000-0600-000000000000}">
      <formula1>YES_NO</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C19"/>
  <sheetViews>
    <sheetView workbookViewId="0">
      <selection activeCell="A42" sqref="A42"/>
    </sheetView>
  </sheetViews>
  <sheetFormatPr defaultRowHeight="14.4"/>
  <cols>
    <col min="1" max="1" width="10.21875" customWidth="1"/>
    <col min="2" max="2" width="80.6640625" style="77" customWidth="1"/>
    <col min="3" max="3" width="13.109375" customWidth="1"/>
  </cols>
  <sheetData>
    <row r="1" spans="1:3">
      <c r="A1" s="307" t="s">
        <v>668</v>
      </c>
      <c r="B1" s="307"/>
      <c r="C1" s="307"/>
    </row>
    <row r="2" spans="1:3">
      <c r="A2" s="296"/>
      <c r="B2" s="214"/>
      <c r="C2" s="296"/>
    </row>
    <row r="3" spans="1:3">
      <c r="A3" s="218" t="s">
        <v>537</v>
      </c>
      <c r="B3" s="219" t="s">
        <v>539</v>
      </c>
      <c r="C3" s="218" t="s">
        <v>538</v>
      </c>
    </row>
    <row r="4" spans="1:3">
      <c r="A4" s="215">
        <v>1</v>
      </c>
      <c r="B4" s="216" t="s">
        <v>540</v>
      </c>
      <c r="C4" s="277">
        <v>42401</v>
      </c>
    </row>
    <row r="5" spans="1:3">
      <c r="A5" s="215">
        <v>1.1000000000000001</v>
      </c>
      <c r="B5" s="216" t="s">
        <v>541</v>
      </c>
      <c r="C5" s="277">
        <v>42401</v>
      </c>
    </row>
    <row r="6" spans="1:3" ht="57.6">
      <c r="A6" s="215">
        <v>1.2</v>
      </c>
      <c r="B6" s="216" t="s">
        <v>542</v>
      </c>
      <c r="C6" s="277">
        <v>42552</v>
      </c>
    </row>
    <row r="7" spans="1:3">
      <c r="A7" s="220">
        <v>1.3</v>
      </c>
      <c r="B7" s="214" t="s">
        <v>543</v>
      </c>
      <c r="C7" s="277">
        <v>42571</v>
      </c>
    </row>
    <row r="8" spans="1:3">
      <c r="A8" s="220">
        <v>1.4</v>
      </c>
      <c r="B8" s="214" t="s">
        <v>545</v>
      </c>
      <c r="C8" s="277">
        <v>42705</v>
      </c>
    </row>
    <row r="9" spans="1:3">
      <c r="A9" s="220">
        <v>1.5</v>
      </c>
      <c r="B9" s="214" t="s">
        <v>577</v>
      </c>
      <c r="C9" s="277">
        <v>42856</v>
      </c>
    </row>
    <row r="10" spans="1:3">
      <c r="A10" s="220">
        <v>1.6</v>
      </c>
      <c r="B10" s="214" t="s">
        <v>634</v>
      </c>
      <c r="C10" s="277">
        <v>42873</v>
      </c>
    </row>
    <row r="11" spans="1:3" ht="43.2">
      <c r="A11" s="215">
        <v>1.7</v>
      </c>
      <c r="B11" s="214" t="s">
        <v>652</v>
      </c>
      <c r="C11" s="277">
        <v>42888</v>
      </c>
    </row>
    <row r="12" spans="1:3" ht="30" customHeight="1">
      <c r="A12" s="215">
        <v>1.8</v>
      </c>
      <c r="B12" s="214" t="s">
        <v>667</v>
      </c>
      <c r="C12" s="277">
        <v>43054</v>
      </c>
    </row>
    <row r="13" spans="1:3" ht="72">
      <c r="A13" s="215">
        <v>1.9</v>
      </c>
      <c r="B13" s="214" t="s">
        <v>669</v>
      </c>
      <c r="C13" s="277">
        <v>43431</v>
      </c>
    </row>
    <row r="14" spans="1:3">
      <c r="A14" s="220"/>
      <c r="B14" s="214"/>
      <c r="C14" s="217"/>
    </row>
    <row r="15" spans="1:3">
      <c r="A15" s="220"/>
      <c r="B15" s="214"/>
      <c r="C15" s="217"/>
    </row>
    <row r="16" spans="1:3">
      <c r="A16" s="220"/>
      <c r="B16" s="214"/>
      <c r="C16" s="217"/>
    </row>
    <row r="17" spans="1:3">
      <c r="A17" s="220"/>
      <c r="B17" s="214"/>
      <c r="C17" s="217"/>
    </row>
    <row r="18" spans="1:3">
      <c r="A18" s="220"/>
      <c r="B18" s="214"/>
      <c r="C18" s="217"/>
    </row>
    <row r="19" spans="1:3">
      <c r="A19" s="213"/>
    </row>
  </sheetData>
  <sheetProtection algorithmName="SHA-512" hashValue="yZML60/dTpgrDRq2OdVhRSxXi+PjaoP/1cVCQcOIKi0NQADNOicMQ55Smp3hullMbl+nT7tykAILrP7jxnC5Rw==" saltValue="bW0BY53+g9X7dlFg6LkvDg==" spinCount="100000" sheet="1" objects="1" scenarios="1"/>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3:AD8"/>
  <sheetViews>
    <sheetView workbookViewId="0"/>
  </sheetViews>
  <sheetFormatPr defaultRowHeight="14.4"/>
  <cols>
    <col min="1" max="1" width="16.109375" customWidth="1"/>
    <col min="2" max="2" width="12.33203125" customWidth="1"/>
    <col min="3" max="3" width="15.88671875" customWidth="1"/>
    <col min="4" max="5" width="19" customWidth="1"/>
    <col min="6" max="6" width="23.33203125" customWidth="1"/>
    <col min="7" max="7" width="12.44140625" customWidth="1"/>
    <col min="8" max="8" width="15.6640625" customWidth="1"/>
    <col min="9" max="9" width="17.5546875" customWidth="1"/>
    <col min="10" max="10" width="15.33203125" customWidth="1"/>
    <col min="11" max="11" width="19.109375" customWidth="1"/>
    <col min="12" max="12" width="16.109375" customWidth="1"/>
    <col min="13" max="13" width="17.6640625" customWidth="1"/>
    <col min="14" max="14" width="13.5546875" customWidth="1"/>
  </cols>
  <sheetData>
    <row r="3" spans="1:30" ht="69" customHeight="1">
      <c r="A3" s="224" t="s">
        <v>559</v>
      </c>
      <c r="B3" s="79" t="s">
        <v>560</v>
      </c>
      <c r="C3" s="79" t="s">
        <v>561</v>
      </c>
      <c r="D3" s="79" t="s">
        <v>562</v>
      </c>
      <c r="E3" s="222" t="s">
        <v>548</v>
      </c>
      <c r="F3" s="79" t="s">
        <v>549</v>
      </c>
      <c r="G3" s="79" t="s">
        <v>550</v>
      </c>
      <c r="H3" s="79" t="s">
        <v>551</v>
      </c>
      <c r="I3" s="79" t="s">
        <v>552</v>
      </c>
      <c r="J3" s="79" t="s">
        <v>553</v>
      </c>
      <c r="K3" s="79" t="s">
        <v>554</v>
      </c>
      <c r="L3" s="79" t="s">
        <v>555</v>
      </c>
      <c r="M3" s="79" t="s">
        <v>556</v>
      </c>
      <c r="N3" s="79" t="s">
        <v>557</v>
      </c>
      <c r="O3" s="79"/>
      <c r="P3" s="79"/>
      <c r="Q3" s="79"/>
      <c r="R3" s="79"/>
      <c r="S3" s="79"/>
      <c r="T3" s="79"/>
      <c r="U3" s="79"/>
      <c r="V3" s="79"/>
      <c r="W3" s="79"/>
      <c r="X3" s="79"/>
      <c r="Y3" s="79"/>
      <c r="Z3" s="79"/>
      <c r="AA3" s="79"/>
      <c r="AB3" s="79"/>
      <c r="AC3" s="79"/>
      <c r="AD3" s="79"/>
    </row>
    <row r="4" spans="1:30">
      <c r="A4" t="s">
        <v>100</v>
      </c>
      <c r="B4" t="s">
        <v>100</v>
      </c>
      <c r="C4" t="s">
        <v>100</v>
      </c>
      <c r="D4" t="s">
        <v>100</v>
      </c>
      <c r="E4" t="s">
        <v>100</v>
      </c>
      <c r="F4" t="s">
        <v>100</v>
      </c>
      <c r="G4" t="s">
        <v>100</v>
      </c>
      <c r="H4" t="s">
        <v>100</v>
      </c>
      <c r="I4" t="s">
        <v>100</v>
      </c>
      <c r="J4" t="s">
        <v>100</v>
      </c>
      <c r="K4" t="s">
        <v>100</v>
      </c>
      <c r="L4" t="s">
        <v>100</v>
      </c>
      <c r="M4" t="s">
        <v>100</v>
      </c>
      <c r="N4" t="s">
        <v>100</v>
      </c>
    </row>
    <row r="5" spans="1:30">
      <c r="A5" t="s">
        <v>99</v>
      </c>
      <c r="B5" t="s">
        <v>99</v>
      </c>
      <c r="C5" t="s">
        <v>99</v>
      </c>
      <c r="D5" t="s">
        <v>99</v>
      </c>
      <c r="E5" t="s">
        <v>99</v>
      </c>
      <c r="F5" t="s">
        <v>99</v>
      </c>
      <c r="G5" t="s">
        <v>99</v>
      </c>
      <c r="H5" t="s">
        <v>99</v>
      </c>
      <c r="I5" t="s">
        <v>99</v>
      </c>
      <c r="J5" t="s">
        <v>99</v>
      </c>
      <c r="K5" t="s">
        <v>99</v>
      </c>
      <c r="L5" t="s">
        <v>99</v>
      </c>
      <c r="M5" t="s">
        <v>99</v>
      </c>
      <c r="N5" t="s">
        <v>99</v>
      </c>
    </row>
    <row r="6" spans="1:30">
      <c r="A6" s="223" t="str">
        <f>IF('Submission Form'!D17="Condensing","YES","NO")</f>
        <v>NO</v>
      </c>
      <c r="B6" s="225" t="str">
        <f>IF('Submission Form'!D21="On-Off","YES","NO")</f>
        <v>NO</v>
      </c>
      <c r="C6" s="225" t="str">
        <f>IF('Submission Form'!D21="On-Off","NO","YES")</f>
        <v>YES</v>
      </c>
      <c r="D6" s="223" t="s">
        <v>99</v>
      </c>
      <c r="E6" s="223" t="str">
        <f>_xlfn.IFS('Compens. control compatibility'!A3="","NO",'Compens. control compatibility'!A3="NO","NO",'Compens. control compatibility'!A3="YES","YES")</f>
        <v>NO</v>
      </c>
      <c r="F6" s="223" t="str">
        <f>_xlfn.IFS('Compens. control compatibility'!B3="","NO",'Compens. control compatibility'!B3="NO","NO",'Compens. control compatibility'!B3="YES","YES")</f>
        <v>NO</v>
      </c>
      <c r="G6" s="223" t="str">
        <f>_xlfn.IFS('Compens. control compatibility'!C3="","NO",'Compens. control compatibility'!C3="NO","NO",'Compens. control compatibility'!C3="YES","YES")</f>
        <v>NO</v>
      </c>
      <c r="H6" s="223" t="str">
        <f>_xlfn.IFS('Compens. control compatibility'!D3="","NO",'Compens. control compatibility'!D3="NO","NO",'Compens. control compatibility'!D3="YES","YES")</f>
        <v>NO</v>
      </c>
      <c r="I6" s="223" t="str">
        <f>_xlfn.IFS('Compens. control compatibility'!E3="","NO",'Compens. control compatibility'!E3="NO","NO",'Compens. control compatibility'!E3="YES","YES")</f>
        <v>NO</v>
      </c>
      <c r="J6" s="223" t="str">
        <f>_xlfn.IFS('Compens. control compatibility'!F3="","NO",'Compens. control compatibility'!F3="NO","NO",'Compens. control compatibility'!F3="YES","YES")</f>
        <v>NO</v>
      </c>
      <c r="K6" s="223" t="str">
        <f>_xlfn.IFS('Compens. control compatibility'!G3="","NO",'Compens. control compatibility'!G3="NO","NO",'Compens. control compatibility'!G3="YES","YES")</f>
        <v>NO</v>
      </c>
      <c r="L6" s="223" t="str">
        <f>_xlfn.IFS('Compens. control compatibility'!H3="","NO",'Compens. control compatibility'!H3="NO","NO",'Compens. control compatibility'!H3="YES","YES")</f>
        <v>NO</v>
      </c>
      <c r="M6" s="223" t="str">
        <f>_xlfn.IFS('Compens. control compatibility'!I3="","NO",'Compens. control compatibility'!I3="NO","NO",'Compens. control compatibility'!I3="YES","YES")</f>
        <v>NO</v>
      </c>
      <c r="N6" s="223" t="str">
        <f>_xlfn.IFS('Compens. control compatibility'!J3="","NO",'Compens. control compatibility'!J3="NO","NO",'Compens. control compatibility'!J3="YES","YES")</f>
        <v>NO</v>
      </c>
    </row>
    <row r="8" spans="1:30">
      <c r="A8" s="223" t="s">
        <v>558</v>
      </c>
      <c r="B8" s="223"/>
      <c r="C8" s="223"/>
    </row>
  </sheetData>
  <sheetProtection algorithmName="SHA-512" hashValue="8f0tblxLSY5i4jx1N3RLY8NNuOSLPB523YC2Wb8/IXdIPPmNMm9OApevCVHpYr0G0k2Uy79R0eIjrsdo54b0xw==" saltValue="+4RtEMusXme2eYqNkB1Sr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FA15146244A44C8E55E626151745AB" ma:contentTypeVersion="2" ma:contentTypeDescription="Create a new document." ma:contentTypeScope="" ma:versionID="42938aca9f2480c8fa0f7ff2b53f0521">
  <xsd:schema xmlns:xsd="http://www.w3.org/2001/XMLSchema" xmlns:xs="http://www.w3.org/2001/XMLSchema" xmlns:p="http://schemas.microsoft.com/office/2006/metadata/properties" xmlns:ns2="72950b28-2e4a-4b0a-9f89-450972000ef8" targetNamespace="http://schemas.microsoft.com/office/2006/metadata/properties" ma:root="true" ma:fieldsID="3c5d8b02496ad33f27ac5318def131b6" ns2:_="">
    <xsd:import namespace="72950b28-2e4a-4b0a-9f89-450972000e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50b28-2e4a-4b0a-9f89-450972000e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060562-2AED-40FF-9EA0-1F9C7C91338B}">
  <ds:schemaRefs>
    <ds:schemaRef ds:uri="http://schemas.microsoft.com/office/2006/metadata/properties"/>
    <ds:schemaRef ds:uri="http://purl.org/dc/elements/1.1/"/>
    <ds:schemaRef ds:uri="http://www.w3.org/XML/1998/namespace"/>
    <ds:schemaRef ds:uri="http://schemas.microsoft.com/office/2006/documentManagement/types"/>
    <ds:schemaRef ds:uri="http://purl.org/dc/terms/"/>
    <ds:schemaRef ds:uri="72950b28-2e4a-4b0a-9f89-450972000ef8"/>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C733F61-C0F5-4633-BF55-98356515247A}">
  <ds:schemaRefs>
    <ds:schemaRef ds:uri="http://schemas.microsoft.com/sharepoint/v3/contenttype/forms"/>
  </ds:schemaRefs>
</ds:datastoreItem>
</file>

<file path=customXml/itemProps3.xml><?xml version="1.0" encoding="utf-8"?>
<ds:datastoreItem xmlns:ds="http://schemas.openxmlformats.org/officeDocument/2006/customXml" ds:itemID="{C55F47F8-EA7A-468D-BCBE-2847B0ACB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50b28-2e4a-4b0a-9f89-450972000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55</vt:i4>
      </vt:variant>
    </vt:vector>
  </HeadingPairs>
  <TitlesOfParts>
    <vt:vector size="68" baseType="lpstr">
      <vt:lpstr>Instructions</vt:lpstr>
      <vt:lpstr>Applicant Information</vt:lpstr>
      <vt:lpstr>Submission Form</vt:lpstr>
      <vt:lpstr>Tables</vt:lpstr>
      <vt:lpstr>Lists</vt:lpstr>
      <vt:lpstr>Compens. control compatibility</vt:lpstr>
      <vt:lpstr>Supporting info &amp; declaration</vt:lpstr>
      <vt:lpstr>Change Log</vt:lpstr>
      <vt:lpstr>Table 372 - Features</vt:lpstr>
      <vt:lpstr>HEX CODE GENERATOR</vt:lpstr>
      <vt:lpstr>Years</vt:lpstr>
      <vt:lpstr>ErP declared data</vt:lpstr>
      <vt:lpstr>BED information</vt:lpstr>
      <vt:lpstr>Basis</vt:lpstr>
      <vt:lpstr>Boiler_Type_BED</vt:lpstr>
      <vt:lpstr>Boiler_Type_BED_Lookup</vt:lpstr>
      <vt:lpstr>Burner_Type</vt:lpstr>
      <vt:lpstr>Burner_Type_Lookup</vt:lpstr>
      <vt:lpstr>Condensing</vt:lpstr>
      <vt:lpstr>Condensing_Lookup</vt:lpstr>
      <vt:lpstr>DHW_Elecco</vt:lpstr>
      <vt:lpstr>DHW_FuelEnergyParam</vt:lpstr>
      <vt:lpstr>DHW_Test_Standard</vt:lpstr>
      <vt:lpstr>DHW_Tests</vt:lpstr>
      <vt:lpstr>DHW_Tests_Lookup</vt:lpstr>
      <vt:lpstr>DHW_WastedW</vt:lpstr>
      <vt:lpstr>ErP_Class</vt:lpstr>
      <vt:lpstr>ErP_Class_Water</vt:lpstr>
      <vt:lpstr>ErP_DHW_LoadProfile</vt:lpstr>
      <vt:lpstr>ErP_Qfuel</vt:lpstr>
      <vt:lpstr>Fan</vt:lpstr>
      <vt:lpstr>Fan_Lookup</vt:lpstr>
      <vt:lpstr>Final_year</vt:lpstr>
      <vt:lpstr>First_Year</vt:lpstr>
      <vt:lpstr>Flue_Type</vt:lpstr>
      <vt:lpstr>Flue_Type_Lookup</vt:lpstr>
      <vt:lpstr>Fuel_Lookup</vt:lpstr>
      <vt:lpstr>Fuels</vt:lpstr>
      <vt:lpstr>IHWS</vt:lpstr>
      <vt:lpstr>Keep_Hot</vt:lpstr>
      <vt:lpstr>Keep_Hot_Lookup</vt:lpstr>
      <vt:lpstr>Keep_Hot_Timer</vt:lpstr>
      <vt:lpstr>Keep_Hot_Timer_Lookup</vt:lpstr>
      <vt:lpstr>LPG_Condens_Uplift_Lookup</vt:lpstr>
      <vt:lpstr>LPG_Condense_Standard</vt:lpstr>
      <vt:lpstr>LPG_Condense_Uplift</vt:lpstr>
      <vt:lpstr>LPG_Test</vt:lpstr>
      <vt:lpstr>LPG_Test_Lookup</vt:lpstr>
      <vt:lpstr>Main_Type</vt:lpstr>
      <vt:lpstr>Main_Type_Lookup</vt:lpstr>
      <vt:lpstr>PFGHRD</vt:lpstr>
      <vt:lpstr>PFGHRD_Lookup</vt:lpstr>
      <vt:lpstr>Pilot</vt:lpstr>
      <vt:lpstr>Pilot_Lookup</vt:lpstr>
      <vt:lpstr>Position</vt:lpstr>
      <vt:lpstr>Position_Lookup</vt:lpstr>
      <vt:lpstr>'Submission Form'!Print_Titles</vt:lpstr>
      <vt:lpstr>Rating</vt:lpstr>
      <vt:lpstr>Rating_Lookup</vt:lpstr>
      <vt:lpstr>Separate_Store</vt:lpstr>
      <vt:lpstr>Separate_Store_Lookup</vt:lpstr>
      <vt:lpstr>Store_Insulant</vt:lpstr>
      <vt:lpstr>Store_Insulant_Lookup</vt:lpstr>
      <vt:lpstr>Store_Loss</vt:lpstr>
      <vt:lpstr>Store_Loss_Lookup</vt:lpstr>
      <vt:lpstr>Store_Type</vt:lpstr>
      <vt:lpstr>Store_Type_Lookup</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Lewitt</dc:creator>
  <cp:lastModifiedBy>Will Griffiths</cp:lastModifiedBy>
  <cp:revision/>
  <cp:lastPrinted>2016-01-12T12:13:59Z</cp:lastPrinted>
  <dcterms:created xsi:type="dcterms:W3CDTF">2015-11-13T12:38:09Z</dcterms:created>
  <dcterms:modified xsi:type="dcterms:W3CDTF">2018-11-27T17:11:32Z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0x01010037FA15146244A44C8E55E626151745AB</vt:lpwstr>
  </property>
</Properties>
</file>