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etrust.sharepoint.com/sites/PCDB/Shared Documents/2. Appendix Q/Appendix Q Applicants/Kelda/Stage 6/"/>
    </mc:Choice>
  </mc:AlternateContent>
  <xr:revisionPtr revIDLastSave="14" documentId="8_{425D1C81-1D33-4247-A69D-8D02E650B281}" xr6:coauthVersionLast="47" xr6:coauthVersionMax="47" xr10:uidLastSave="{A74701E0-59E7-462A-A068-8F8D1E02847F}"/>
  <bookViews>
    <workbookView xWindow="-25660" yWindow="-3180" windowWidth="25720" windowHeight="13920" xr2:uid="{E2D33B3F-C5CE-41C8-959C-EB33449A823F}"/>
  </bookViews>
  <sheets>
    <sheet name="Instructions" sheetId="23" r:id="rId1"/>
    <sheet name="Input" sheetId="1" r:id="rId2"/>
    <sheet name="Tables" sheetId="18" state="hidden" r:id="rId3"/>
    <sheet name="Calculation" sheetId="24" state="hidden" r:id="rId4"/>
    <sheet name="Version" sheetId="21" r:id="rId5"/>
  </sheets>
  <externalReferences>
    <externalReference r:id="rId6"/>
  </externalReferences>
  <definedNames>
    <definedName name="A">#REF!</definedName>
    <definedName name="B">#REF!</definedName>
    <definedName name="beta">#REF!</definedName>
    <definedName name="C_">#REF!</definedName>
    <definedName name="checklist_yn">#REF!</definedName>
    <definedName name="diverter_present">#REF!</definedName>
    <definedName name="Elec_lighting">#REF!</definedName>
    <definedName name="Elec_misc">#REF!</definedName>
    <definedName name="electricity_tariff">#REF!</definedName>
    <definedName name="excessPV">#REF!</definedName>
    <definedName name="fPV_diverter_storageloss">'[1]SAP Tables'!$K$109</definedName>
    <definedName name="fPV_diverter_storageloss_mixergy">'[1]SAP Tables'!$K$110</definedName>
    <definedName name="full_sap">[1]Dropdowns!$I$11</definedName>
    <definedName name="gas_sys">'[1]SAP Tables'!$K$3</definedName>
    <definedName name="heat_pump1">'[1]SAP Tables'!$K$9</definedName>
    <definedName name="heatpump2">'[1]SAP Tables'!$K$10</definedName>
    <definedName name="heatpumpair">'[1]SAP Tables'!$I$8</definedName>
    <definedName name="heatpumpgroundwater">'[1]SAP Tables'!$I$7</definedName>
    <definedName name="high_rate">#REF!</definedName>
    <definedName name="HWD_minusPV">#REF!</definedName>
    <definedName name="HWD_minusPV_eff">#REF!</definedName>
    <definedName name="HWD_minusPV_eff_stan">#REF!</definedName>
    <definedName name="HWD_reduc_mix">#REF!</definedName>
    <definedName name="HWD_reduc_stan">#REF!</definedName>
    <definedName name="HWD_reduction">#REF!</definedName>
    <definedName name="main_space_sys1">#REF!</definedName>
    <definedName name="main_space_sys2">'[1]SAP Tables'!$K$105</definedName>
    <definedName name="NA">'[1]SAP Tables'!$I$14</definedName>
    <definedName name="Non_electric_system">'[1]SAP Tables'!$I$4</definedName>
    <definedName name="occupants">[1]Details!$C$3</definedName>
    <definedName name="oil_sys">'[1]SAP Tables'!$K$4</definedName>
    <definedName name="On_peak_frac_water">#REF!</definedName>
    <definedName name="On_peak_fraction">#REF!</definedName>
    <definedName name="orientation">#REF!</definedName>
    <definedName name="phi">#REF!</definedName>
    <definedName name="pitch">#REF!</definedName>
    <definedName name="pitch2">#REF!</definedName>
    <definedName name="pumps_elec">#REF!</definedName>
    <definedName name="pv_export">#REF!</definedName>
    <definedName name="pv_onsite">#REF!</definedName>
    <definedName name="R_PV">#REF!</definedName>
    <definedName name="region">#REF!</definedName>
    <definedName name="sap_type">#REF!</definedName>
    <definedName name="second_space_elec">#REF!</definedName>
    <definedName name="second_space_fuel">#REF!</definedName>
    <definedName name="secondary_space_heat_yn">#REF!</definedName>
    <definedName name="solar_annual">#REF!</definedName>
    <definedName name="solid_sys">'[1]SAP Tables'!$K$5</definedName>
    <definedName name="standard_tariff">[1]Dropdowns!$B$14</definedName>
    <definedName name="Sys_Idx">#REF!</definedName>
    <definedName name="Sys_Idx_no">#REF!</definedName>
    <definedName name="Sys_Index_no">#REF!</definedName>
    <definedName name="Sys_tariff">'[1]SAP Tables'!$K$108</definedName>
    <definedName name="tank_size">#REF!</definedName>
    <definedName name="TFA">#REF!</definedName>
    <definedName name="underfloor">'[1]SAP Tables'!$I$6</definedName>
    <definedName name="water_heat_eff">#REF!</definedName>
    <definedName name="water_heat_fuel">#REF!</definedName>
    <definedName name="water_heat_sys">#REF!</definedName>
    <definedName name="waterheat_fue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7" i="24" l="1"/>
  <c r="J16" i="24"/>
  <c r="J15" i="24"/>
  <c r="J14" i="24"/>
  <c r="J13" i="24"/>
  <c r="J12" i="24"/>
  <c r="J11" i="24"/>
  <c r="J10" i="24"/>
  <c r="J9" i="24"/>
  <c r="J8" i="24"/>
  <c r="J7" i="24"/>
  <c r="J6" i="24"/>
  <c r="C24" i="24" l="1"/>
  <c r="D24" i="24" s="1"/>
  <c r="E24" i="24" s="1"/>
  <c r="D17" i="24"/>
  <c r="B17" i="24"/>
  <c r="D16" i="24"/>
  <c r="B16" i="24"/>
  <c r="D15" i="24"/>
  <c r="B15" i="24"/>
  <c r="D14" i="24"/>
  <c r="B14" i="24"/>
  <c r="D13" i="24"/>
  <c r="B13" i="24"/>
  <c r="D12" i="24"/>
  <c r="B12" i="24"/>
  <c r="D11" i="24"/>
  <c r="B11" i="24"/>
  <c r="D10" i="24"/>
  <c r="B10" i="24"/>
  <c r="D9" i="24"/>
  <c r="B9" i="24"/>
  <c r="D8" i="24"/>
  <c r="B8" i="24"/>
  <c r="D7" i="24"/>
  <c r="B7" i="24"/>
  <c r="D6" i="24"/>
  <c r="B6" i="24"/>
  <c r="F24" i="24" l="1"/>
  <c r="H24" i="24" l="1"/>
  <c r="G29" i="18" l="1"/>
  <c r="G28" i="18"/>
  <c r="G27" i="18"/>
  <c r="G26" i="18"/>
  <c r="G25" i="18"/>
  <c r="G24" i="18"/>
  <c r="G23" i="18"/>
  <c r="G22" i="18"/>
  <c r="G21" i="18"/>
  <c r="G20" i="18"/>
  <c r="G19" i="18"/>
  <c r="G18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C6" i="24" l="1"/>
  <c r="C9" i="24"/>
  <c r="C12" i="24"/>
  <c r="C15" i="24"/>
  <c r="C7" i="24"/>
  <c r="C10" i="24"/>
  <c r="C13" i="24"/>
  <c r="C16" i="24"/>
  <c r="C8" i="24"/>
  <c r="C11" i="24"/>
  <c r="C14" i="24"/>
  <c r="C17" i="24"/>
  <c r="C13" i="18"/>
  <c r="C12" i="18"/>
  <c r="K6" i="24" s="1"/>
  <c r="K7" i="24" l="1"/>
  <c r="L7" i="24" s="1"/>
  <c r="M7" i="24" s="1"/>
  <c r="N7" i="24" s="1"/>
  <c r="O7" i="24" s="1"/>
  <c r="E17" i="24"/>
  <c r="F17" i="24" s="1"/>
  <c r="G17" i="24" s="1"/>
  <c r="E9" i="24"/>
  <c r="F9" i="24" s="1"/>
  <c r="G9" i="24" s="1"/>
  <c r="E8" i="24"/>
  <c r="F8" i="24" s="1"/>
  <c r="G8" i="24" s="1"/>
  <c r="E12" i="24"/>
  <c r="F12" i="24" s="1"/>
  <c r="G12" i="24" s="1"/>
  <c r="K8" i="24"/>
  <c r="L8" i="24" s="1"/>
  <c r="M8" i="24" s="1"/>
  <c r="N8" i="24" s="1"/>
  <c r="K10" i="24"/>
  <c r="L10" i="24" s="1"/>
  <c r="M10" i="24" s="1"/>
  <c r="N10" i="24" s="1"/>
  <c r="K9" i="24"/>
  <c r="L9" i="24" s="1"/>
  <c r="M9" i="24" s="1"/>
  <c r="N9" i="24" s="1"/>
  <c r="K13" i="24"/>
  <c r="L13" i="24" s="1"/>
  <c r="M13" i="24" s="1"/>
  <c r="N13" i="24" s="1"/>
  <c r="E10" i="24"/>
  <c r="F10" i="24" s="1"/>
  <c r="G10" i="24" s="1"/>
  <c r="E15" i="24"/>
  <c r="F15" i="24" s="1"/>
  <c r="G15" i="24" s="1"/>
  <c r="E14" i="24"/>
  <c r="F14" i="24" s="1"/>
  <c r="G14" i="24" s="1"/>
  <c r="L6" i="24"/>
  <c r="M6" i="24" s="1"/>
  <c r="N6" i="24" s="1"/>
  <c r="K11" i="24"/>
  <c r="L11" i="24" s="1"/>
  <c r="M11" i="24" s="1"/>
  <c r="N11" i="24" s="1"/>
  <c r="K16" i="24"/>
  <c r="L16" i="24" s="1"/>
  <c r="M16" i="24" s="1"/>
  <c r="N16" i="24" s="1"/>
  <c r="K15" i="24"/>
  <c r="L15" i="24" s="1"/>
  <c r="M15" i="24" s="1"/>
  <c r="N15" i="24" s="1"/>
  <c r="E13" i="24"/>
  <c r="F13" i="24" s="1"/>
  <c r="G13" i="24" s="1"/>
  <c r="E11" i="24"/>
  <c r="F11" i="24" s="1"/>
  <c r="G11" i="24" s="1"/>
  <c r="E16" i="24"/>
  <c r="F16" i="24" s="1"/>
  <c r="G16" i="24" s="1"/>
  <c r="E7" i="24"/>
  <c r="F7" i="24" s="1"/>
  <c r="G7" i="24" s="1"/>
  <c r="E6" i="24"/>
  <c r="K12" i="24"/>
  <c r="L12" i="24" s="1"/>
  <c r="M12" i="24" s="1"/>
  <c r="N12" i="24" s="1"/>
  <c r="K17" i="24"/>
  <c r="L17" i="24" s="1"/>
  <c r="M17" i="24" s="1"/>
  <c r="N17" i="24" s="1"/>
  <c r="K14" i="24"/>
  <c r="L14" i="24" s="1"/>
  <c r="M14" i="24" s="1"/>
  <c r="N14" i="24" s="1"/>
  <c r="C22" i="24"/>
  <c r="D22" i="24" s="1"/>
  <c r="C23" i="24"/>
  <c r="D23" i="24" s="1"/>
  <c r="E23" i="24" s="1"/>
  <c r="F22" i="24" l="1"/>
  <c r="E22" i="24"/>
  <c r="G22" i="24" s="1"/>
  <c r="F6" i="24"/>
  <c r="G6" i="24" s="1"/>
  <c r="H6" i="24" s="1"/>
  <c r="O16" i="24"/>
  <c r="O13" i="24"/>
  <c r="O9" i="24"/>
  <c r="O6" i="24"/>
  <c r="O8" i="24"/>
  <c r="O11" i="24"/>
  <c r="O10" i="24"/>
  <c r="O14" i="24"/>
  <c r="O17" i="24"/>
  <c r="O12" i="24"/>
  <c r="O15" i="24"/>
  <c r="H7" i="24"/>
  <c r="H9" i="24"/>
  <c r="H16" i="24"/>
  <c r="H14" i="24"/>
  <c r="H17" i="24"/>
  <c r="H13" i="24"/>
  <c r="H15" i="24"/>
  <c r="H11" i="24"/>
  <c r="H8" i="24"/>
  <c r="H12" i="24"/>
  <c r="H10" i="24"/>
  <c r="F23" i="24"/>
  <c r="G23" i="24"/>
  <c r="O18" i="24" l="1"/>
  <c r="I14" i="24"/>
  <c r="I17" i="24"/>
  <c r="I16" i="24"/>
  <c r="I13" i="24"/>
  <c r="I10" i="24"/>
  <c r="I12" i="24"/>
  <c r="I8" i="24"/>
  <c r="I11" i="24"/>
  <c r="I9" i="24"/>
  <c r="I15" i="24"/>
  <c r="I7" i="24"/>
  <c r="I6" i="24"/>
  <c r="H22" i="24"/>
  <c r="H23" i="24"/>
  <c r="C26" i="1" l="1"/>
  <c r="I18" i="24"/>
  <c r="C25" i="1" s="1"/>
</calcChain>
</file>

<file path=xl/sharedStrings.xml><?xml version="1.0" encoding="utf-8"?>
<sst xmlns="http://schemas.openxmlformats.org/spreadsheetml/2006/main" count="159" uniqueCount="110">
  <si>
    <t>Baths present</t>
  </si>
  <si>
    <t>No baths present</t>
  </si>
  <si>
    <t>No shower outlets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</si>
  <si>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</si>
  <si>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</si>
  <si>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</si>
  <si>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</si>
  <si>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</si>
  <si>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</si>
  <si>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</si>
  <si>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</si>
  <si>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</si>
  <si>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</si>
  <si>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</si>
  <si>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</si>
  <si>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Behaviour factor [Table J5]</t>
  </si>
  <si>
    <r>
      <rPr>
        <u/>
        <sz val="10"/>
        <color theme="1"/>
        <rFont val="Arial"/>
        <family val="2"/>
      </rPr>
      <t>Warm</t>
    </r>
    <r>
      <rPr>
        <sz val="10"/>
        <color theme="1"/>
        <rFont val="Arial"/>
        <family val="2"/>
      </rPr>
      <t xml:space="preserve"> water use per shower event (l)</t>
    </r>
  </si>
  <si>
    <r>
      <rPr>
        <u/>
        <sz val="10"/>
        <color theme="1"/>
        <rFont val="Arial"/>
        <family val="2"/>
      </rPr>
      <t>Warm</t>
    </r>
    <r>
      <rPr>
        <sz val="10"/>
        <color theme="1"/>
        <rFont val="Arial"/>
        <family val="2"/>
      </rPr>
      <t xml:space="preserve"> water use for each outlet (l/day)</t>
    </r>
  </si>
  <si>
    <r>
      <rPr>
        <u/>
        <sz val="10"/>
        <color theme="1"/>
        <rFont val="Arial"/>
        <family val="2"/>
      </rPr>
      <t>Hot</t>
    </r>
    <r>
      <rPr>
        <sz val="10"/>
        <color theme="1"/>
        <rFont val="Arial"/>
        <family val="2"/>
      </rPr>
      <t xml:space="preserve"> water use for each outlet (l/day)</t>
    </r>
  </si>
  <si>
    <t>Cold water T (oC)</t>
  </si>
  <si>
    <t>Header tank [Table J1]</t>
  </si>
  <si>
    <t>Days [Table 1a]</t>
  </si>
  <si>
    <t>No. baths</t>
  </si>
  <si>
    <t>f_shower</t>
  </si>
  <si>
    <t>Total</t>
  </si>
  <si>
    <t>Duration (mins)</t>
  </si>
  <si>
    <t>Hours per day</t>
  </si>
  <si>
    <r>
      <rPr>
        <u/>
        <sz val="10"/>
        <color theme="1"/>
        <rFont val="Arial"/>
        <family val="2"/>
      </rPr>
      <t>Hot</t>
    </r>
    <r>
      <rPr>
        <sz val="10"/>
        <color theme="1"/>
        <rFont val="Arial"/>
        <family val="2"/>
      </rPr>
      <t xml:space="preserve"> water use for all showers (l/day)</t>
    </r>
  </si>
  <si>
    <t>Mains water [Table J1]</t>
  </si>
  <si>
    <t>Air-powered shower</t>
  </si>
  <si>
    <t>Flow rate (l/min)</t>
  </si>
  <si>
    <t>SAP Appendix Q derived figures</t>
  </si>
  <si>
    <t>Table J4 and Appendix J, p81</t>
  </si>
  <si>
    <t>Showers/day</t>
  </si>
  <si>
    <t>Air-powered showers</t>
  </si>
  <si>
    <t>Assumed occupancy, N</t>
  </si>
  <si>
    <t>SAP Appendix Q - Calculation process for air-powered shower</t>
  </si>
  <si>
    <t>SAP assessment reference</t>
  </si>
  <si>
    <t>Full SAP or Reduced data SAP (RdSAP) assessment</t>
  </si>
  <si>
    <t>Implementation currently only for SAP10.2</t>
  </si>
  <si>
    <t>Version control</t>
  </si>
  <si>
    <t>Date</t>
  </si>
  <si>
    <t>Version</t>
  </si>
  <si>
    <t>Notes</t>
  </si>
  <si>
    <t>First publication</t>
  </si>
  <si>
    <t>Cold water source: mains or header tank</t>
  </si>
  <si>
    <t>Input data tables for domestic hot water calculation with air-powered shower</t>
  </si>
  <si>
    <t>kWh/year</t>
  </si>
  <si>
    <t>W</t>
  </si>
  <si>
    <t>Operation</t>
  </si>
  <si>
    <t>Box (217)m</t>
  </si>
  <si>
    <t>Electrical load in operation</t>
  </si>
  <si>
    <t>Electrical load in standby</t>
  </si>
  <si>
    <t>Stand-by</t>
  </si>
  <si>
    <t>Enter data in cells with yellow highlight</t>
  </si>
  <si>
    <t>Air-powered shower model name</t>
  </si>
  <si>
    <t>Air-powered shower model qualifier</t>
  </si>
  <si>
    <t>Deluxe shower panel, Void shower</t>
  </si>
  <si>
    <t>93XXXXX5</t>
  </si>
  <si>
    <t>91XXXXX5</t>
  </si>
  <si>
    <t>Enter 'Yes' if satisfied</t>
  </si>
  <si>
    <t>SAP10.2</t>
  </si>
  <si>
    <t>RdSAP10</t>
  </si>
  <si>
    <t>SAP version</t>
  </si>
  <si>
    <t>Model qualifier</t>
  </si>
  <si>
    <t>Step 1. Confirm model and qualifier plus installation and commissioning</t>
  </si>
  <si>
    <t>Drop down lists:</t>
  </si>
  <si>
    <t>Box (42)</t>
  </si>
  <si>
    <t>Box (236a)</t>
  </si>
  <si>
    <t>Box (236b)</t>
  </si>
  <si>
    <t>Cold water source</t>
  </si>
  <si>
    <t>Header tank</t>
  </si>
  <si>
    <t>Mains</t>
  </si>
  <si>
    <t>Step 0. SAP Assessment Information</t>
  </si>
  <si>
    <t>Enter SAP assessment reference (currently only implemented in SAP10.2)</t>
  </si>
  <si>
    <t>(a) Select air-powered model and qualifier</t>
  </si>
  <si>
    <t>(b) Ensure each air-powered shower is properly commissioned and displays relevant SAP Appendix Q label</t>
  </si>
  <si>
    <t>Confirm air-powered shower(s) commissioned and has SAP Q label</t>
  </si>
  <si>
    <t>Same as original SAP calculation</t>
  </si>
  <si>
    <r>
      <t xml:space="preserve">Efficiency of water heater (%) </t>
    </r>
    <r>
      <rPr>
        <sz val="10"/>
        <color rgb="FFFF0000"/>
        <rFont val="Arial"/>
        <family val="2"/>
      </rPr>
      <t>(Ensure figures are 1 to 100 and not a fraction)</t>
    </r>
  </si>
  <si>
    <t>Energy (kWh/yr)</t>
  </si>
  <si>
    <t>Fuel (kWh/yr)</t>
  </si>
  <si>
    <t>Record the fuel type saved</t>
  </si>
  <si>
    <r>
      <t xml:space="preserve">Annual energy saved </t>
    </r>
    <r>
      <rPr>
        <sz val="10"/>
        <color rgb="FFFF0000"/>
        <rFont val="Arial"/>
        <family val="2"/>
      </rPr>
      <t>(Negative quantity)</t>
    </r>
  </si>
  <si>
    <r>
      <t xml:space="preserve">Annual energy used </t>
    </r>
    <r>
      <rPr>
        <sz val="10"/>
        <color rgb="FFFF0000"/>
        <rFont val="Arial"/>
        <family val="2"/>
      </rPr>
      <t>(Positive quantity)</t>
    </r>
  </si>
  <si>
    <r>
      <t xml:space="preserve">(c) Additional guidance is provided in </t>
    </r>
    <r>
      <rPr>
        <sz val="10"/>
        <color rgb="FFFF0000"/>
        <rFont val="Arial"/>
        <family val="2"/>
      </rPr>
      <t>red text</t>
    </r>
  </si>
  <si>
    <r>
      <t xml:space="preserve">(b) In this spreadheet energy </t>
    </r>
    <r>
      <rPr>
        <u/>
        <sz val="10"/>
        <color theme="1"/>
        <rFont val="Arial"/>
        <family val="2"/>
      </rPr>
      <t>savings</t>
    </r>
    <r>
      <rPr>
        <sz val="10"/>
        <color theme="1"/>
        <rFont val="Arial"/>
        <family val="2"/>
      </rPr>
      <t xml:space="preserve"> are shown as </t>
    </r>
    <r>
      <rPr>
        <u/>
        <sz val="10"/>
        <color theme="1"/>
        <rFont val="Arial"/>
        <family val="2"/>
      </rPr>
      <t>negative</t>
    </r>
    <r>
      <rPr>
        <sz val="10"/>
        <color theme="1"/>
        <rFont val="Arial"/>
        <family val="2"/>
      </rPr>
      <t xml:space="preserve">, and energy </t>
    </r>
    <r>
      <rPr>
        <u/>
        <sz val="10"/>
        <color theme="1"/>
        <rFont val="Arial"/>
        <family val="2"/>
      </rPr>
      <t>used</t>
    </r>
    <r>
      <rPr>
        <sz val="10"/>
        <color theme="1"/>
        <rFont val="Arial"/>
        <family val="2"/>
      </rPr>
      <t xml:space="preserve"> as </t>
    </r>
    <r>
      <rPr>
        <u/>
        <sz val="10"/>
        <color theme="1"/>
        <rFont val="Arial"/>
        <family val="2"/>
      </rPr>
      <t>positive</t>
    </r>
    <r>
      <rPr>
        <sz val="10"/>
        <color theme="1"/>
        <rFont val="Arial"/>
        <family val="2"/>
      </rPr>
      <t>. The specific SAP software convention may mean savings are entered as positive values</t>
    </r>
  </si>
  <si>
    <r>
      <t xml:space="preserve">This is the </t>
    </r>
    <r>
      <rPr>
        <u/>
        <sz val="10"/>
        <color rgb="FFFF0000"/>
        <rFont val="Arial"/>
        <family val="2"/>
      </rPr>
      <t>electrical</t>
    </r>
    <r>
      <rPr>
        <sz val="10"/>
        <color rgb="FFFF0000"/>
        <rFont val="Arial"/>
        <family val="2"/>
      </rPr>
      <t xml:space="preserve"> energy used by air-powered showers in operation for processor, fan driver, solenoid etc. as well as their stand-by draw</t>
    </r>
  </si>
  <si>
    <t>Updated to allow up to 4 showers</t>
  </si>
  <si>
    <t>SAP Appendix Q - Air-powered shower</t>
  </si>
  <si>
    <t>Step 2. Intial SAP10.2 modelling</t>
  </si>
  <si>
    <t>Step 3. Input data from SAP10.2 DER output file</t>
  </si>
  <si>
    <t>(a) Run SAP10.2 for dwelling and enter the data specified in the tab 'Input'</t>
  </si>
  <si>
    <r>
      <t xml:space="preserve">(a) Record annual energy saving and energy used figures and note fuel type in each case to be entered into Special Features section of SAP10.2. Additional guidance is in </t>
    </r>
    <r>
      <rPr>
        <sz val="10"/>
        <color rgb="FFFF0000"/>
        <rFont val="Arial"/>
        <family val="2"/>
      </rPr>
      <t>red text</t>
    </r>
  </si>
  <si>
    <t>Step 4. Enter SAP Q inputs into SAP10.2 Special Features</t>
  </si>
  <si>
    <t>Step 2. Initial SAP10.2 modelling</t>
  </si>
  <si>
    <r>
      <t xml:space="preserve">It is </t>
    </r>
    <r>
      <rPr>
        <b/>
        <i/>
        <sz val="12"/>
        <color theme="1"/>
        <rFont val="Arial"/>
        <family val="2"/>
      </rPr>
      <t>not</t>
    </r>
    <r>
      <rPr>
        <i/>
        <sz val="12"/>
        <color theme="1"/>
        <rFont val="Arial"/>
        <family val="2"/>
      </rPr>
      <t xml:space="preserve"> compatible with </t>
    </r>
    <r>
      <rPr>
        <i/>
        <u/>
        <sz val="12"/>
        <color theme="1"/>
        <rFont val="Arial"/>
        <family val="2"/>
      </rPr>
      <t>storage</t>
    </r>
    <r>
      <rPr>
        <i/>
        <sz val="12"/>
        <color theme="1"/>
        <rFont val="Arial"/>
        <family val="2"/>
      </rPr>
      <t xml:space="preserve"> WWHRS, PV diverters and solar hot water</t>
    </r>
  </si>
  <si>
    <t>(c) Assign any instantaneous WWHRS to specific mixer showers as normal</t>
  </si>
  <si>
    <t>Conventional mixer shower</t>
  </si>
  <si>
    <t>(b) Define the number of air-powered showers to be installed</t>
  </si>
  <si>
    <t>No. air-powered showers installed</t>
  </si>
  <si>
    <t>Total no. of showers installed</t>
  </si>
  <si>
    <t>Number equal to or less than the total number of installed showers</t>
  </si>
  <si>
    <r>
      <t xml:space="preserve">Same as original SAP calculation. Include </t>
    </r>
    <r>
      <rPr>
        <u/>
        <sz val="10"/>
        <color rgb="FFFF0000"/>
        <rFont val="Arial"/>
        <family val="2"/>
      </rPr>
      <t>all</t>
    </r>
    <r>
      <rPr>
        <sz val="10"/>
        <color rgb="FFFF0000"/>
        <rFont val="Arial"/>
        <family val="2"/>
      </rPr>
      <t xml:space="preserve"> installed showers, i.e. mixer showers, IES and air-powered showers</t>
    </r>
  </si>
  <si>
    <r>
      <t xml:space="preserve">(a) Establish </t>
    </r>
    <r>
      <rPr>
        <u/>
        <sz val="10"/>
        <color theme="1"/>
        <rFont val="Arial"/>
        <family val="2"/>
      </rPr>
      <t>total</t>
    </r>
    <r>
      <rPr>
        <sz val="10"/>
        <color theme="1"/>
        <rFont val="Arial"/>
        <family val="2"/>
      </rPr>
      <t xml:space="preserve"> number of showers installed in dwelling as well as their type, i.e. conventional mixer shower, instantaneous electric shower (IES) and air-powered shower</t>
    </r>
  </si>
  <si>
    <r>
      <t xml:space="preserve">Spreadsheet can be used in conjunction with heat pumps, conventional or combi boilers (with or without  flue gas heat recovery systems) and </t>
    </r>
    <r>
      <rPr>
        <i/>
        <u/>
        <sz val="12"/>
        <color theme="1"/>
        <rFont val="Arial"/>
        <family val="2"/>
      </rPr>
      <t>instantaneous</t>
    </r>
    <r>
      <rPr>
        <i/>
        <sz val="12"/>
        <color theme="1"/>
        <rFont val="Arial"/>
        <family val="2"/>
      </rPr>
      <t xml:space="preserve"> Waste Water Heat Recovery Systems (WWHRS)</t>
    </r>
  </si>
  <si>
    <r>
      <t xml:space="preserve">(b) Model each installed shower as follows:
     - Conventional mixer shower by entering its flow rate (l/min) as normal
     - IES by entering its power output (kW) as normal
     - Air-powered shower by entering it as a conventional mixer shower with </t>
    </r>
    <r>
      <rPr>
        <u/>
        <sz val="10"/>
        <color theme="1"/>
        <rFont val="Arial"/>
        <family val="2"/>
      </rPr>
      <t>flow rate of 8 l/min</t>
    </r>
  </si>
  <si>
    <t>Calculation of domestic hot water use with air-powered shower (SAP10.2, Appendix J) replacing conventional mixer shower</t>
  </si>
  <si>
    <t>Conventional mixer showers</t>
  </si>
  <si>
    <t>Model air-powered shower as 8 l/min in SAP to simplify and allow 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</si>
</sst>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%"/>
    <numFmt numFmtId="167" formatCode="#,##0.0"/>
  </numFmts>
  <fonts count="1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i/>
      <sz val="12"/>
      <color theme="1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 Nova Light"/>
      <family val="2"/>
    </font>
    <font>
      <i/>
      <sz val="10"/>
      <color rgb="FF0070C0"/>
      <name val="Arial"/>
      <family val="2"/>
    </font>
    <font>
      <b/>
      <i/>
      <sz val="11"/>
      <color rgb="FF0070C0"/>
      <name val="Arial"/>
      <family val="2"/>
    </font>
    <font>
      <sz val="11"/>
      <color rgb="FF0070C0"/>
      <name val="Arial"/>
      <family val="2"/>
    </font>
    <font>
      <u/>
      <sz val="10"/>
      <color rgb="FFFF0000"/>
      <name val="Arial"/>
      <family val="2"/>
    </font>
    <font>
      <i/>
      <u/>
      <sz val="12"/>
      <color theme="1"/>
      <name val="Arial"/>
      <family val="2"/>
    </font>
    <font>
      <b/>
      <i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8" fillId="0" borderId="0"/>
  </cellStyleXfs>
  <cellXfs count="63">
    <xf numFmtId="0" fontId="0" fillId="0" borderId="0" xfId="0"/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right"/>
    </xf>
    <xf numFmtId="165" fontId="1" fillId="0" borderId="0" xfId="0" applyNumberFormat="1" applyFont="1"/>
    <xf numFmtId="0" fontId="1" fillId="0" borderId="0" xfId="0" applyFont="1"/>
    <xf numFmtId="0" fontId="4" fillId="0" borderId="0" xfId="0" applyFont="1"/>
    <xf numFmtId="1" fontId="0" fillId="0" borderId="0" xfId="0" applyNumberFormat="1"/>
    <xf numFmtId="3" fontId="1" fillId="0" borderId="0" xfId="0" applyNumberFormat="1" applyFont="1"/>
    <xf numFmtId="0" fontId="0" fillId="0" borderId="0" xfId="0" applyAlignment="1">
      <alignment horizontal="center"/>
    </xf>
    <xf numFmtId="166" fontId="0" fillId="0" borderId="0" xfId="1" applyNumberFormat="1" applyFont="1"/>
    <xf numFmtId="0" fontId="0" fillId="0" borderId="0" xfId="0" applyAlignment="1">
      <alignment horizontal="center" wrapText="1"/>
    </xf>
    <xf numFmtId="0" fontId="6" fillId="0" borderId="0" xfId="0" applyFont="1"/>
    <xf numFmtId="165" fontId="0" fillId="0" borderId="0" xfId="0" quotePrefix="1" applyNumberForma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7" fillId="0" borderId="0" xfId="0" applyFont="1"/>
    <xf numFmtId="0" fontId="3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17" fontId="0" fillId="0" borderId="0" xfId="0" applyNumberFormat="1"/>
    <xf numFmtId="0" fontId="7" fillId="0" borderId="0" xfId="0" applyFont="1" applyAlignment="1">
      <alignment vertical="top"/>
    </xf>
    <xf numFmtId="0" fontId="9" fillId="0" borderId="0" xfId="0" applyFont="1"/>
    <xf numFmtId="0" fontId="0" fillId="0" borderId="0" xfId="1" applyNumberFormat="1" applyFont="1"/>
    <xf numFmtId="167" fontId="0" fillId="0" borderId="0" xfId="0" applyNumberFormat="1"/>
    <xf numFmtId="0" fontId="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6" fillId="2" borderId="0" xfId="0" applyFont="1" applyFill="1"/>
    <xf numFmtId="0" fontId="14" fillId="0" borderId="0" xfId="0" applyFont="1" applyAlignment="1">
      <alignment horizontal="left" vertical="center" indent="3"/>
    </xf>
    <xf numFmtId="0" fontId="15" fillId="0" borderId="0" xfId="0" applyFont="1" applyAlignment="1">
      <alignment horizontal="left" vertical="center" indent="3"/>
    </xf>
    <xf numFmtId="0" fontId="7" fillId="0" borderId="0" xfId="0" applyFont="1" applyAlignment="1">
      <alignment horizontal="left" vertical="top"/>
    </xf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 wrapText="1"/>
    </xf>
    <xf numFmtId="0" fontId="1" fillId="5" borderId="1" xfId="0" applyFont="1" applyFill="1" applyBorder="1"/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167" fontId="1" fillId="0" borderId="0" xfId="0" applyNumberFormat="1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wrapText="1"/>
    </xf>
    <xf numFmtId="0" fontId="1" fillId="5" borderId="1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 vertical="top" wrapText="1"/>
    </xf>
    <xf numFmtId="0" fontId="1" fillId="5" borderId="2" xfId="0" applyFont="1" applyFill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5" borderId="0" xfId="0" applyFill="1" applyAlignment="1">
      <alignment horizontal="center" vertical="top"/>
    </xf>
    <xf numFmtId="0" fontId="0" fillId="3" borderId="0" xfId="0" applyFill="1" applyAlignment="1">
      <alignment horizontal="center" vertical="top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2" borderId="0" xfId="0" applyFill="1" applyAlignment="1">
      <alignment horizontal="center" vertical="top"/>
    </xf>
    <xf numFmtId="0" fontId="0" fillId="4" borderId="0" xfId="0" applyFill="1" applyAlignment="1">
      <alignment horizontal="center" vertical="top"/>
    </xf>
    <xf numFmtId="0" fontId="0" fillId="2" borderId="0" xfId="0" applyFill="1" applyAlignment="1" applyProtection="1">
      <alignment horizontal="right"/>
      <protection locked="0"/>
    </xf>
    <xf numFmtId="2" fontId="0" fillId="2" borderId="0" xfId="0" applyNumberFormat="1" applyFill="1" applyProtection="1">
      <protection locked="0"/>
    </xf>
    <xf numFmtId="0" fontId="0" fillId="2" borderId="0" xfId="0" applyFill="1" applyProtection="1">
      <protection locked="0"/>
    </xf>
    <xf numFmtId="165" fontId="0" fillId="2" borderId="0" xfId="0" applyNumberFormat="1" applyFill="1" applyProtection="1">
      <protection locked="0"/>
    </xf>
  </cellXfs>
  <cellStyles count="3">
    <cellStyle name="Normal" xfId="0" builtinId="0"/>
    <cellStyle name="Normal 2" xfId="2" xr:uid="{C1327B02-1D2A-4EA1-B996-F7BBF07B332A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247650</xdr:rowOff>
    </xdr:from>
    <xdr:to>
      <xdr:col>3</xdr:col>
      <xdr:colOff>159841</xdr:colOff>
      <xdr:row>3</xdr:row>
      <xdr:rowOff>119584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97B171F3-72EB-4D1A-B689-4C2A1C777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63025" y="247650"/>
          <a:ext cx="845641" cy="7482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476250</xdr:colOff>
      <xdr:row>0</xdr:row>
      <xdr:rowOff>219075</xdr:rowOff>
    </xdr:from>
    <xdr:to>
      <xdr:col>4</xdr:col>
      <xdr:colOff>569416</xdr:colOff>
      <xdr:row>4</xdr:row>
      <xdr:rowOff>119584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D7D1E6FE-827D-49CB-8103-A0BAF24EA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72250" y="219075"/>
          <a:ext cx="845641" cy="7482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1</xdr:row>
      <xdr:rowOff>0</xdr:rowOff>
    </xdr:from>
    <xdr:to>
      <xdr:col>5</xdr:col>
      <xdr:colOff>216991</xdr:colOff>
      <xdr:row>5</xdr:row>
      <xdr:rowOff>100534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D9B38E5E-0FE4-4A83-A4B2-4C4A53F29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228600"/>
          <a:ext cx="845641" cy="7482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ARTLE~1\AppData\Local\Temp\MicrosoftEdgeDownloads\3e0d8dcf-2a5b-467d-a72c-11a69e67b63b\SAPQ_10_Smart_Hot_Water_Tank_Tool-v6---10.08.23%20(1).xlsx" TargetMode="External"/><Relationship Id="rId1" Type="http://schemas.openxmlformats.org/officeDocument/2006/relationships/externalLinkPath" Target="file:///C:\Users\HARTLE~1\AppData\Local\Temp\MicrosoftEdgeDownloads\3e0d8dcf-2a5b-467d-a72c-11a69e67b63b\SAPQ_10_Smart_Hot_Water_Tank_Tool-v6---10.08.23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Select System"/>
      <sheetName val="Dwelling data"/>
      <sheetName val="SAP10 Savings"/>
      <sheetName val="Details"/>
      <sheetName val="Checklist"/>
      <sheetName val="SAP Tables"/>
      <sheetName val="Dropdowns"/>
      <sheetName val="Changecontrol"/>
      <sheetName val="SAPQ_10_Smart_Hot_Water_Tank_To"/>
    </sheetNames>
    <sheetDataSet>
      <sheetData sheetId="0"/>
      <sheetData sheetId="1">
        <row r="3">
          <cell r="H3">
            <v>100</v>
          </cell>
        </row>
      </sheetData>
      <sheetData sheetId="2"/>
      <sheetData sheetId="3"/>
      <sheetData sheetId="4">
        <row r="3">
          <cell r="C3">
            <v>1.0966945263483281</v>
          </cell>
        </row>
      </sheetData>
      <sheetData sheetId="5"/>
      <sheetData sheetId="6">
        <row r="3">
          <cell r="K3" t="str">
            <v>Gas system</v>
          </cell>
        </row>
        <row r="4">
          <cell r="I4" t="str">
            <v>Non-electric system</v>
          </cell>
          <cell r="K4" t="str">
            <v>Oil system</v>
          </cell>
        </row>
        <row r="5">
          <cell r="K5" t="str">
            <v>Solid system</v>
          </cell>
        </row>
        <row r="6">
          <cell r="I6" t="str">
            <v>Electric underfloor heating</v>
          </cell>
        </row>
        <row r="7">
          <cell r="I7" t="str">
            <v>Electric ground/water source heat pump</v>
          </cell>
        </row>
        <row r="8">
          <cell r="I8" t="str">
            <v>Electric air source heat pump</v>
          </cell>
        </row>
        <row r="9">
          <cell r="K9" t="str">
            <v xml:space="preserve">Electric heat pump with off peak immersion from PCDB </v>
          </cell>
        </row>
        <row r="10">
          <cell r="K10" t="str">
            <v xml:space="preserve">Electric heat pump with off peak immersion not from PCDB </v>
          </cell>
        </row>
        <row r="14">
          <cell r="I14" t="str">
            <v>NA</v>
          </cell>
        </row>
        <row r="108">
          <cell r="K108" t="str">
            <v xml:space="preserve"> </v>
          </cell>
        </row>
        <row r="109">
          <cell r="K109">
            <v>0.9</v>
          </cell>
        </row>
        <row r="110">
          <cell r="K110">
            <v>0.94</v>
          </cell>
        </row>
      </sheetData>
      <sheetData sheetId="7">
        <row r="4">
          <cell r="F4" t="str">
            <v>Yes</v>
          </cell>
        </row>
        <row r="11">
          <cell r="I11" t="str">
            <v>Full SAP</v>
          </cell>
        </row>
        <row r="14">
          <cell r="B14" t="str">
            <v>Standard</v>
          </cell>
        </row>
      </sheetData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BB384-0CA8-4182-BCAB-F1947309ABDF}">
  <dimension ref="A1:B25"/>
  <sheetViews>
    <sheetView showGridLines="0" tabSelected="1" workbookViewId="0"/>
  </sheetViews>
  <sheetFormatPr defaultRowHeight="13.2" x14ac:dyDescent="0.25"/>
  <cols>
    <col min="1" max="1" width="150" customWidth="1"/>
  </cols>
  <sheetData>
    <row r="1" spans="1:1" ht="22.8" x14ac:dyDescent="0.4">
      <c r="A1" s="24" t="s">
        <v>36</v>
      </c>
    </row>
    <row r="2" spans="1:1" ht="15.6" x14ac:dyDescent="0.3">
      <c r="A2" s="16" t="s">
        <v>39</v>
      </c>
    </row>
    <row r="3" spans="1:1" ht="30.75" customHeight="1" x14ac:dyDescent="0.3">
      <c r="A3" s="47" t="s">
        <v>105</v>
      </c>
    </row>
    <row r="4" spans="1:1" ht="15.6" x14ac:dyDescent="0.3">
      <c r="A4" s="16" t="s">
        <v>96</v>
      </c>
    </row>
    <row r="5" spans="1:1" ht="15" customHeight="1" x14ac:dyDescent="0.25"/>
    <row r="6" spans="1:1" x14ac:dyDescent="0.25">
      <c r="A6" s="38" t="s">
        <v>73</v>
      </c>
    </row>
    <row r="7" spans="1:1" x14ac:dyDescent="0.25">
      <c r="A7" t="s">
        <v>74</v>
      </c>
    </row>
    <row r="9" spans="1:1" x14ac:dyDescent="0.25">
      <c r="A9" s="38" t="s">
        <v>65</v>
      </c>
    </row>
    <row r="10" spans="1:1" x14ac:dyDescent="0.25">
      <c r="A10" s="6" t="s">
        <v>75</v>
      </c>
    </row>
    <row r="11" spans="1:1" x14ac:dyDescent="0.25">
      <c r="A11" s="6" t="s">
        <v>76</v>
      </c>
    </row>
    <row r="12" spans="1:1" x14ac:dyDescent="0.25">
      <c r="A12" s="19"/>
    </row>
    <row r="13" spans="1:1" x14ac:dyDescent="0.25">
      <c r="A13" s="39" t="s">
        <v>90</v>
      </c>
    </row>
    <row r="14" spans="1:1" x14ac:dyDescent="0.25">
      <c r="A14" s="46" t="s">
        <v>104</v>
      </c>
    </row>
    <row r="15" spans="1:1" ht="52.8" x14ac:dyDescent="0.25">
      <c r="A15" s="46" t="s">
        <v>106</v>
      </c>
    </row>
    <row r="16" spans="1:1" x14ac:dyDescent="0.25">
      <c r="A16" s="18" t="s">
        <v>97</v>
      </c>
    </row>
    <row r="17" spans="1:2" x14ac:dyDescent="0.25">
      <c r="A17" s="19"/>
    </row>
    <row r="18" spans="1:2" x14ac:dyDescent="0.25">
      <c r="A18" s="39" t="s">
        <v>91</v>
      </c>
    </row>
    <row r="19" spans="1:2" x14ac:dyDescent="0.25">
      <c r="A19" s="18" t="s">
        <v>92</v>
      </c>
    </row>
    <row r="20" spans="1:2" x14ac:dyDescent="0.25">
      <c r="A20" s="18" t="s">
        <v>99</v>
      </c>
    </row>
    <row r="21" spans="1:2" x14ac:dyDescent="0.25">
      <c r="A21" s="18" t="s">
        <v>85</v>
      </c>
    </row>
    <row r="23" spans="1:2" x14ac:dyDescent="0.25">
      <c r="A23" s="40" t="s">
        <v>94</v>
      </c>
      <c r="B23" s="9"/>
    </row>
    <row r="24" spans="1:2" x14ac:dyDescent="0.25">
      <c r="A24" s="18" t="s">
        <v>93</v>
      </c>
    </row>
    <row r="25" spans="1:2" x14ac:dyDescent="0.25">
      <c r="A25" s="18" t="s">
        <v>86</v>
      </c>
    </row>
  </sheetData>
  <sheetProtection algorithmName="SHA-512" hashValue="9hkvLjAJxqbGpdA6VO7T5o0l/EmY/FaWA4kGgvKyHQ0sCE7mIc9LwilAheFQU+f6xIfRhtr29cAs4KjDUYk3Mw==" saltValue="weMmUrMG4VvbJyPeFmMTPg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EF43C-0AFD-4803-8A1B-3654C4A6D301}">
  <dimension ref="A1:W34"/>
  <sheetViews>
    <sheetView showGridLines="0" workbookViewId="0">
      <selection activeCell="B5" sqref="B5"/>
    </sheetView>
  </sheetViews>
  <sheetFormatPr defaultRowHeight="13.2" x14ac:dyDescent="0.25"/>
  <cols>
    <col min="1" max="1" width="67.5546875" customWidth="1"/>
    <col min="2" max="2" width="12.5546875" customWidth="1"/>
    <col min="3" max="19" width="11.33203125" customWidth="1"/>
    <col min="20" max="20" width="11.6640625" customWidth="1"/>
    <col min="21" max="23" width="11.44140625" customWidth="1"/>
  </cols>
  <sheetData>
    <row r="1" spans="1:23" ht="22.8" x14ac:dyDescent="0.4">
      <c r="A1" s="24" t="s">
        <v>89</v>
      </c>
      <c r="B1" s="10"/>
      <c r="U1" s="4"/>
    </row>
    <row r="2" spans="1:23" ht="15.6" x14ac:dyDescent="0.3">
      <c r="A2" s="34" t="s">
        <v>54</v>
      </c>
      <c r="B2" s="10"/>
      <c r="U2" s="4"/>
    </row>
    <row r="3" spans="1:23" ht="15.6" x14ac:dyDescent="0.3">
      <c r="A3" s="16"/>
      <c r="B3" s="16"/>
      <c r="U3" s="4"/>
      <c r="W3" s="11"/>
    </row>
    <row r="4" spans="1:23" x14ac:dyDescent="0.25">
      <c r="A4" s="48" t="s">
        <v>73</v>
      </c>
      <c r="B4" s="49"/>
      <c r="V4" s="3"/>
      <c r="W4" s="3"/>
    </row>
    <row r="5" spans="1:23" x14ac:dyDescent="0.25">
      <c r="A5" t="s">
        <v>37</v>
      </c>
      <c r="B5" s="59"/>
      <c r="V5" s="3"/>
      <c r="W5" s="3"/>
    </row>
    <row r="6" spans="1:23" x14ac:dyDescent="0.25">
      <c r="A6" t="s">
        <v>38</v>
      </c>
      <c r="B6" s="59"/>
      <c r="C6" s="22"/>
      <c r="V6" s="3"/>
      <c r="W6" s="3"/>
    </row>
    <row r="7" spans="1:23" ht="13.8" x14ac:dyDescent="0.25">
      <c r="I7" s="35"/>
      <c r="V7" s="3"/>
      <c r="W7" s="3"/>
    </row>
    <row r="8" spans="1:23" ht="13.8" x14ac:dyDescent="0.25">
      <c r="A8" s="48" t="s">
        <v>65</v>
      </c>
      <c r="B8" s="49"/>
      <c r="I8" s="36"/>
      <c r="V8" s="3"/>
      <c r="W8" s="3"/>
    </row>
    <row r="9" spans="1:23" ht="39.6" x14ac:dyDescent="0.25">
      <c r="A9" s="6" t="s">
        <v>55</v>
      </c>
      <c r="B9" s="5" t="s">
        <v>57</v>
      </c>
      <c r="C9" s="33"/>
      <c r="V9" s="3"/>
      <c r="W9" s="3"/>
    </row>
    <row r="10" spans="1:23" x14ac:dyDescent="0.25">
      <c r="A10" t="s">
        <v>56</v>
      </c>
      <c r="B10" s="59"/>
      <c r="C10" s="22"/>
      <c r="V10" s="3"/>
      <c r="W10" s="3"/>
    </row>
    <row r="11" spans="1:23" x14ac:dyDescent="0.25">
      <c r="A11" t="s">
        <v>77</v>
      </c>
      <c r="B11" s="59"/>
      <c r="C11" s="22" t="s">
        <v>60</v>
      </c>
      <c r="D11" s="6"/>
      <c r="V11" s="3"/>
      <c r="W11" s="3"/>
    </row>
    <row r="12" spans="1:23" x14ac:dyDescent="0.25">
      <c r="B12" s="7"/>
      <c r="C12" s="22"/>
      <c r="D12" s="6"/>
      <c r="V12" s="3"/>
      <c r="W12" s="3"/>
    </row>
    <row r="13" spans="1:23" x14ac:dyDescent="0.25">
      <c r="A13" s="50" t="s">
        <v>95</v>
      </c>
      <c r="B13" s="51"/>
      <c r="C13" s="22"/>
      <c r="D13" s="6"/>
      <c r="V13" s="3"/>
      <c r="W13" s="3"/>
    </row>
    <row r="14" spans="1:23" x14ac:dyDescent="0.25">
      <c r="A14" s="19"/>
      <c r="B14" s="19"/>
      <c r="C14" s="7"/>
      <c r="D14" s="21"/>
    </row>
    <row r="15" spans="1:23" x14ac:dyDescent="0.25">
      <c r="A15" s="50" t="s">
        <v>91</v>
      </c>
      <c r="B15" s="51"/>
      <c r="C15" s="37"/>
      <c r="D15" s="21"/>
    </row>
    <row r="16" spans="1:23" ht="12.75" customHeight="1" x14ac:dyDescent="0.25">
      <c r="A16" t="s">
        <v>35</v>
      </c>
      <c r="B16" t="s">
        <v>67</v>
      </c>
      <c r="C16" s="60"/>
      <c r="D16" s="21"/>
    </row>
    <row r="17" spans="1:23" ht="12.75" customHeight="1" x14ac:dyDescent="0.25">
      <c r="A17" t="s">
        <v>45</v>
      </c>
      <c r="C17" s="59"/>
      <c r="D17" s="45" t="s">
        <v>78</v>
      </c>
      <c r="E17" s="44"/>
    </row>
    <row r="18" spans="1:23" ht="12.75" customHeight="1" x14ac:dyDescent="0.25">
      <c r="A18" t="s">
        <v>22</v>
      </c>
      <c r="C18" s="61"/>
      <c r="D18" s="45" t="s">
        <v>78</v>
      </c>
      <c r="E18" s="44"/>
    </row>
    <row r="19" spans="1:23" ht="12.75" customHeight="1" x14ac:dyDescent="0.25">
      <c r="A19" s="42" t="s">
        <v>101</v>
      </c>
      <c r="B19" s="41"/>
      <c r="C19" s="61"/>
      <c r="D19" s="27" t="s">
        <v>103</v>
      </c>
    </row>
    <row r="20" spans="1:23" ht="12.75" customHeight="1" x14ac:dyDescent="0.25">
      <c r="A20" s="42" t="s">
        <v>100</v>
      </c>
      <c r="B20" s="41"/>
      <c r="C20" s="59"/>
      <c r="D20" s="27" t="s">
        <v>102</v>
      </c>
    </row>
    <row r="21" spans="1:23" ht="12.75" customHeight="1" x14ac:dyDescent="0.25">
      <c r="A21" s="18"/>
      <c r="B21" s="19"/>
      <c r="C21" s="7" t="s">
        <v>3</v>
      </c>
      <c r="D21" s="7" t="s">
        <v>4</v>
      </c>
      <c r="E21" s="7" t="s">
        <v>5</v>
      </c>
      <c r="F21" s="7" t="s">
        <v>6</v>
      </c>
      <c r="G21" s="7" t="s">
        <v>7</v>
      </c>
      <c r="H21" s="7" t="s">
        <v>8</v>
      </c>
      <c r="I21" s="7" t="s">
        <v>9</v>
      </c>
      <c r="J21" s="7" t="s">
        <v>10</v>
      </c>
      <c r="K21" s="7" t="s">
        <v>11</v>
      </c>
      <c r="L21" s="7" t="s">
        <v>12</v>
      </c>
      <c r="M21" s="7" t="s">
        <v>13</v>
      </c>
      <c r="N21" s="7" t="s">
        <v>14</v>
      </c>
    </row>
    <row r="22" spans="1:23" x14ac:dyDescent="0.25">
      <c r="A22" s="18" t="s">
        <v>79</v>
      </c>
      <c r="B22" s="18" t="s">
        <v>50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</row>
    <row r="23" spans="1:23" x14ac:dyDescent="0.25">
      <c r="A23" s="23"/>
      <c r="B23" s="19"/>
      <c r="C23" s="7"/>
      <c r="D23" s="21"/>
    </row>
    <row r="24" spans="1:23" x14ac:dyDescent="0.25">
      <c r="A24" s="48" t="s">
        <v>94</v>
      </c>
      <c r="B24" s="49"/>
    </row>
    <row r="25" spans="1:23" x14ac:dyDescent="0.25">
      <c r="A25" t="s">
        <v>83</v>
      </c>
      <c r="B25" t="s">
        <v>68</v>
      </c>
      <c r="C25" s="30" t="e">
        <f>Calculation!I18-Calculation!O18</f>
        <v>#DIV/0!</v>
      </c>
      <c r="D25" s="28" t="s">
        <v>47</v>
      </c>
      <c r="E25" s="22" t="s">
        <v>82</v>
      </c>
    </row>
    <row r="26" spans="1:23" x14ac:dyDescent="0.25">
      <c r="A26" t="s">
        <v>84</v>
      </c>
      <c r="B26" t="s">
        <v>69</v>
      </c>
      <c r="C26" s="3">
        <f>IF(C18=0,Calculation!H23,Calculation!H22)</f>
        <v>1.5662514999999999</v>
      </c>
      <c r="D26" s="28" t="s">
        <v>47</v>
      </c>
      <c r="E26" s="22" t="s">
        <v>87</v>
      </c>
      <c r="H26" s="32"/>
    </row>
    <row r="27" spans="1:23" x14ac:dyDescent="0.25">
      <c r="C27" s="30"/>
    </row>
    <row r="28" spans="1:23" x14ac:dyDescent="0.25">
      <c r="C28" s="30"/>
      <c r="T28" s="2"/>
      <c r="U28" s="2"/>
      <c r="V28" s="2"/>
      <c r="W28" s="2"/>
    </row>
    <row r="29" spans="1:23" x14ac:dyDescent="0.25">
      <c r="C29" s="3"/>
    </row>
    <row r="30" spans="1:23" x14ac:dyDescent="0.25">
      <c r="C30" s="30"/>
      <c r="T30" s="3"/>
      <c r="U30" s="12"/>
      <c r="V30" s="12"/>
      <c r="W30" s="12"/>
    </row>
    <row r="31" spans="1:23" x14ac:dyDescent="0.25">
      <c r="H31" s="3"/>
    </row>
    <row r="32" spans="1:23" x14ac:dyDescent="0.25">
      <c r="H32" s="3"/>
    </row>
    <row r="33" spans="8:8" x14ac:dyDescent="0.25">
      <c r="H33" s="3"/>
    </row>
    <row r="34" spans="8:8" x14ac:dyDescent="0.25">
      <c r="H34" s="3"/>
    </row>
  </sheetData>
  <sheetProtection algorithmName="SHA-512" hashValue="0YDiRVD78uRlDt3htIYotG/1IuZ2l6UNffI4Rptqnnpe3iLl4oL/4SVtnpxye9gapmC18FShmzDwQe1USR8ZNA==" saltValue="9ahpcp93tadz7ZG9VJao5Q==" spinCount="100000" sheet="1" selectLockedCells="1"/>
  <mergeCells count="5">
    <mergeCell ref="A24:B24"/>
    <mergeCell ref="A4:B4"/>
    <mergeCell ref="A8:B8"/>
    <mergeCell ref="A15:B15"/>
    <mergeCell ref="A13:B13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E018AEA-E039-472F-B88E-CC1550605222}">
          <x14:formula1>
            <xm:f>Tables!$C$40:$C$41</xm:f>
          </x14:formula1>
          <xm:sqref>C17</xm:sqref>
        </x14:dataValidation>
        <x14:dataValidation type="list" allowBlank="1" showInputMessage="1" showErrorMessage="1" xr:uid="{29D9A3E8-DC07-4FF1-8BF0-88B77B451729}">
          <x14:formula1>
            <xm:f>Tables!$C$34:$C$35</xm:f>
          </x14:formula1>
          <xm:sqref>B6</xm:sqref>
        </x14:dataValidation>
        <x14:dataValidation type="list" allowBlank="1" showInputMessage="1" showErrorMessage="1" xr:uid="{D5B2E480-73F1-4A09-9B45-D6276BB76576}">
          <x14:formula1>
            <xm:f>Tables!$C$37:$C$38</xm:f>
          </x14:formula1>
          <xm:sqref>B10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7D610-AB4E-49DB-B71D-7DB1BB98E94E}">
  <dimension ref="A1:H41"/>
  <sheetViews>
    <sheetView workbookViewId="0"/>
  </sheetViews>
  <sheetFormatPr defaultRowHeight="13.2" x14ac:dyDescent="0.25"/>
  <cols>
    <col min="2" max="2" width="10.109375" customWidth="1"/>
    <col min="4" max="7" width="9.88671875" customWidth="1"/>
    <col min="9" max="9" width="12" customWidth="1"/>
  </cols>
  <sheetData>
    <row r="1" spans="1:8" ht="17.399999999999999" x14ac:dyDescent="0.3">
      <c r="A1" s="25" t="s">
        <v>46</v>
      </c>
    </row>
    <row r="3" spans="1:8" ht="26.4" x14ac:dyDescent="0.25">
      <c r="D3" s="15" t="s">
        <v>30</v>
      </c>
      <c r="E3" s="15" t="s">
        <v>25</v>
      </c>
    </row>
    <row r="4" spans="1:8" x14ac:dyDescent="0.25">
      <c r="C4" s="7" t="s">
        <v>29</v>
      </c>
      <c r="D4">
        <v>4.5</v>
      </c>
      <c r="E4">
        <v>6.6</v>
      </c>
      <c r="F4" t="s">
        <v>31</v>
      </c>
    </row>
    <row r="5" spans="1:8" x14ac:dyDescent="0.25">
      <c r="C5" s="7" t="s">
        <v>98</v>
      </c>
      <c r="D5">
        <v>8</v>
      </c>
      <c r="E5">
        <v>6</v>
      </c>
      <c r="F5" t="s">
        <v>32</v>
      </c>
    </row>
    <row r="6" spans="1:8" x14ac:dyDescent="0.25">
      <c r="C6" s="7"/>
    </row>
    <row r="7" spans="1:8" x14ac:dyDescent="0.25">
      <c r="C7" s="20" t="s">
        <v>29</v>
      </c>
      <c r="D7" s="14"/>
      <c r="E7" s="14"/>
    </row>
    <row r="8" spans="1:8" x14ac:dyDescent="0.25">
      <c r="C8" s="7" t="s">
        <v>51</v>
      </c>
      <c r="D8" s="29">
        <v>50</v>
      </c>
      <c r="E8" s="14" t="s">
        <v>48</v>
      </c>
    </row>
    <row r="9" spans="1:8" x14ac:dyDescent="0.25">
      <c r="C9" s="7" t="s">
        <v>52</v>
      </c>
      <c r="D9" s="29">
        <v>3</v>
      </c>
      <c r="E9" s="14" t="s">
        <v>48</v>
      </c>
    </row>
    <row r="10" spans="1:8" x14ac:dyDescent="0.25">
      <c r="C10" s="7"/>
      <c r="D10" s="14"/>
      <c r="E10" s="14"/>
    </row>
    <row r="11" spans="1:8" ht="26.4" x14ac:dyDescent="0.25">
      <c r="C11" s="4" t="s">
        <v>33</v>
      </c>
      <c r="D11" s="8"/>
      <c r="G11" s="5"/>
    </row>
    <row r="12" spans="1:8" x14ac:dyDescent="0.25">
      <c r="B12" s="7" t="s">
        <v>0</v>
      </c>
      <c r="C12" s="1">
        <f>0.45*Input!C16+0.65</f>
        <v>0.65</v>
      </c>
      <c r="D12" s="8"/>
      <c r="F12" s="7"/>
    </row>
    <row r="13" spans="1:8" x14ac:dyDescent="0.25">
      <c r="B13" s="7" t="s">
        <v>1</v>
      </c>
      <c r="C13" s="1">
        <f>0.58*Input!C16+0.83</f>
        <v>0.83</v>
      </c>
      <c r="D13" s="8"/>
      <c r="F13" s="7"/>
      <c r="G13" s="1"/>
    </row>
    <row r="14" spans="1:8" x14ac:dyDescent="0.25">
      <c r="B14" s="7" t="s">
        <v>2</v>
      </c>
      <c r="C14">
        <v>0</v>
      </c>
      <c r="D14" s="8"/>
      <c r="F14" s="7"/>
      <c r="G14" s="1"/>
    </row>
    <row r="16" spans="1:8" x14ac:dyDescent="0.25">
      <c r="D16" s="53" t="s">
        <v>28</v>
      </c>
      <c r="E16" s="53"/>
      <c r="F16" s="54" t="s">
        <v>20</v>
      </c>
      <c r="G16" s="54"/>
      <c r="H16" s="6"/>
    </row>
    <row r="17" spans="1:8" ht="52.8" x14ac:dyDescent="0.25">
      <c r="C17" s="5" t="s">
        <v>21</v>
      </c>
      <c r="D17" s="5" t="s">
        <v>19</v>
      </c>
      <c r="E17" s="6" t="s">
        <v>23</v>
      </c>
      <c r="F17" s="5" t="s">
        <v>19</v>
      </c>
      <c r="G17" s="6" t="s">
        <v>23</v>
      </c>
      <c r="H17" s="5" t="s">
        <v>15</v>
      </c>
    </row>
    <row r="18" spans="1:8" x14ac:dyDescent="0.25">
      <c r="B18" s="7" t="s">
        <v>3</v>
      </c>
      <c r="C18">
        <v>31</v>
      </c>
      <c r="D18" s="3">
        <v>8</v>
      </c>
      <c r="E18" s="1">
        <f>(41-D18)/(52-D18)</f>
        <v>0.75</v>
      </c>
      <c r="F18" s="3">
        <v>11.1</v>
      </c>
      <c r="G18" s="1">
        <f>(41-F18)/(52-F18)</f>
        <v>0.73105134474327627</v>
      </c>
      <c r="H18">
        <v>1.0349999999999999</v>
      </c>
    </row>
    <row r="19" spans="1:8" x14ac:dyDescent="0.25">
      <c r="B19" s="7" t="s">
        <v>4</v>
      </c>
      <c r="C19">
        <v>28</v>
      </c>
      <c r="D19" s="3">
        <v>8.1999999999999993</v>
      </c>
      <c r="E19" s="1">
        <f t="shared" ref="E19:E29" si="0">(41-D19)/(52-D19)</f>
        <v>0.74885844748858443</v>
      </c>
      <c r="F19" s="3">
        <v>11.3</v>
      </c>
      <c r="G19" s="1">
        <f t="shared" ref="G19:G29" si="1">(41-F19)/(52-F19)</f>
        <v>0.72972972972972971</v>
      </c>
      <c r="H19">
        <v>1.0209999999999999</v>
      </c>
    </row>
    <row r="20" spans="1:8" x14ac:dyDescent="0.25">
      <c r="B20" s="7" t="s">
        <v>5</v>
      </c>
      <c r="C20">
        <v>31</v>
      </c>
      <c r="D20" s="3">
        <v>9.3000000000000007</v>
      </c>
      <c r="E20" s="1">
        <f t="shared" si="0"/>
        <v>0.74238875878220134</v>
      </c>
      <c r="F20" s="3">
        <v>12.3</v>
      </c>
      <c r="G20" s="1">
        <f t="shared" si="1"/>
        <v>0.7229219143576826</v>
      </c>
      <c r="H20">
        <v>1.0069999999999999</v>
      </c>
    </row>
    <row r="21" spans="1:8" x14ac:dyDescent="0.25">
      <c r="B21" s="7" t="s">
        <v>6</v>
      </c>
      <c r="C21">
        <v>30</v>
      </c>
      <c r="D21" s="3">
        <v>12.7</v>
      </c>
      <c r="E21" s="1">
        <f t="shared" si="0"/>
        <v>0.72010178117048351</v>
      </c>
      <c r="F21" s="3">
        <v>14.5</v>
      </c>
      <c r="G21" s="1">
        <f t="shared" si="1"/>
        <v>0.70666666666666667</v>
      </c>
      <c r="H21">
        <v>0.99299999999999999</v>
      </c>
    </row>
    <row r="22" spans="1:8" x14ac:dyDescent="0.25">
      <c r="B22" s="7" t="s">
        <v>7</v>
      </c>
      <c r="C22">
        <v>31</v>
      </c>
      <c r="D22" s="3">
        <v>14.6</v>
      </c>
      <c r="E22" s="1">
        <f t="shared" si="0"/>
        <v>0.70588235294117641</v>
      </c>
      <c r="F22" s="3">
        <v>16.2</v>
      </c>
      <c r="G22" s="1">
        <f t="shared" si="1"/>
        <v>0.69273743016759781</v>
      </c>
      <c r="H22">
        <v>0.97899999999999998</v>
      </c>
    </row>
    <row r="23" spans="1:8" x14ac:dyDescent="0.25">
      <c r="A23" s="18"/>
      <c r="B23" s="7" t="s">
        <v>8</v>
      </c>
      <c r="C23">
        <v>30</v>
      </c>
      <c r="D23" s="3">
        <v>16.7</v>
      </c>
      <c r="E23" s="1">
        <f t="shared" si="0"/>
        <v>0.68838526912181308</v>
      </c>
      <c r="F23" s="3">
        <v>18.8</v>
      </c>
      <c r="G23" s="1">
        <f t="shared" si="1"/>
        <v>0.6686746987951806</v>
      </c>
      <c r="H23">
        <v>0.96499999999999997</v>
      </c>
    </row>
    <row r="24" spans="1:8" x14ac:dyDescent="0.25">
      <c r="A24" s="18"/>
      <c r="B24" s="7" t="s">
        <v>9</v>
      </c>
      <c r="C24">
        <v>31</v>
      </c>
      <c r="D24" s="3">
        <v>18.399999999999999</v>
      </c>
      <c r="E24" s="1">
        <f t="shared" si="0"/>
        <v>0.67261904761904767</v>
      </c>
      <c r="F24" s="3">
        <v>21.3</v>
      </c>
      <c r="G24" s="1">
        <f t="shared" si="1"/>
        <v>0.64169381107491852</v>
      </c>
      <c r="H24">
        <v>0.96499999999999997</v>
      </c>
    </row>
    <row r="25" spans="1:8" x14ac:dyDescent="0.25">
      <c r="A25" s="18"/>
      <c r="B25" s="7" t="s">
        <v>10</v>
      </c>
      <c r="C25">
        <v>31</v>
      </c>
      <c r="D25" s="3">
        <v>17.600000000000001</v>
      </c>
      <c r="E25" s="1">
        <f t="shared" si="0"/>
        <v>0.68023255813953487</v>
      </c>
      <c r="F25" s="3">
        <v>19.3</v>
      </c>
      <c r="G25" s="1">
        <f t="shared" si="1"/>
        <v>0.66360856269113144</v>
      </c>
      <c r="H25">
        <v>0.97899999999999998</v>
      </c>
    </row>
    <row r="26" spans="1:8" x14ac:dyDescent="0.25">
      <c r="A26" s="18"/>
      <c r="B26" s="7" t="s">
        <v>11</v>
      </c>
      <c r="C26">
        <v>30</v>
      </c>
      <c r="D26" s="3">
        <v>16.600000000000001</v>
      </c>
      <c r="E26" s="1">
        <f t="shared" si="0"/>
        <v>0.68926553672316382</v>
      </c>
      <c r="F26" s="3">
        <v>18.7</v>
      </c>
      <c r="G26" s="1">
        <f t="shared" si="1"/>
        <v>0.66966966966966979</v>
      </c>
      <c r="H26">
        <v>0.99299999999999999</v>
      </c>
    </row>
    <row r="27" spans="1:8" x14ac:dyDescent="0.25">
      <c r="B27" s="7" t="s">
        <v>12</v>
      </c>
      <c r="C27">
        <v>31</v>
      </c>
      <c r="D27" s="3">
        <v>14.3</v>
      </c>
      <c r="E27" s="1">
        <f t="shared" si="0"/>
        <v>0.70822281167108747</v>
      </c>
      <c r="F27" s="3">
        <v>16.2</v>
      </c>
      <c r="G27" s="1">
        <f t="shared" si="1"/>
        <v>0.69273743016759781</v>
      </c>
      <c r="H27">
        <v>1.0069999999999999</v>
      </c>
    </row>
    <row r="28" spans="1:8" x14ac:dyDescent="0.25">
      <c r="B28" s="7" t="s">
        <v>13</v>
      </c>
      <c r="C28">
        <v>30</v>
      </c>
      <c r="D28" s="3">
        <v>11.1</v>
      </c>
      <c r="E28" s="1">
        <f t="shared" si="0"/>
        <v>0.73105134474327627</v>
      </c>
      <c r="F28" s="3">
        <v>13.2</v>
      </c>
      <c r="G28" s="1">
        <f t="shared" si="1"/>
        <v>0.71649484536082486</v>
      </c>
      <c r="H28">
        <v>1.0209999999999999</v>
      </c>
    </row>
    <row r="29" spans="1:8" x14ac:dyDescent="0.25">
      <c r="B29" s="7" t="s">
        <v>14</v>
      </c>
      <c r="C29">
        <v>31</v>
      </c>
      <c r="D29" s="3">
        <v>8.5</v>
      </c>
      <c r="E29" s="1">
        <f t="shared" si="0"/>
        <v>0.74712643678160917</v>
      </c>
      <c r="F29" s="3">
        <v>11.2</v>
      </c>
      <c r="G29" s="1">
        <f t="shared" si="1"/>
        <v>0.73039215686274517</v>
      </c>
      <c r="H29">
        <v>1.0349999999999999</v>
      </c>
    </row>
    <row r="32" spans="1:8" x14ac:dyDescent="0.25">
      <c r="A32" t="s">
        <v>66</v>
      </c>
    </row>
    <row r="34" spans="2:3" x14ac:dyDescent="0.25">
      <c r="B34" s="52" t="s">
        <v>63</v>
      </c>
      <c r="C34" t="s">
        <v>61</v>
      </c>
    </row>
    <row r="35" spans="2:3" x14ac:dyDescent="0.25">
      <c r="B35" s="52"/>
      <c r="C35" t="s">
        <v>62</v>
      </c>
    </row>
    <row r="37" spans="2:3" x14ac:dyDescent="0.25">
      <c r="B37" s="52" t="s">
        <v>64</v>
      </c>
      <c r="C37" s="28" t="s">
        <v>59</v>
      </c>
    </row>
    <row r="38" spans="2:3" x14ac:dyDescent="0.25">
      <c r="B38" s="52"/>
      <c r="C38" s="28" t="s">
        <v>58</v>
      </c>
    </row>
    <row r="40" spans="2:3" x14ac:dyDescent="0.25">
      <c r="B40" s="52" t="s">
        <v>70</v>
      </c>
      <c r="C40" t="s">
        <v>71</v>
      </c>
    </row>
    <row r="41" spans="2:3" x14ac:dyDescent="0.25">
      <c r="B41" s="52"/>
      <c r="C41" t="s">
        <v>72</v>
      </c>
    </row>
  </sheetData>
  <mergeCells count="5">
    <mergeCell ref="B40:B41"/>
    <mergeCell ref="D16:E16"/>
    <mergeCell ref="F16:G16"/>
    <mergeCell ref="B34:B35"/>
    <mergeCell ref="B37:B3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C88ED-2276-4388-8861-467143CAD723}">
  <dimension ref="A1:O24"/>
  <sheetViews>
    <sheetView workbookViewId="0"/>
  </sheetViews>
  <sheetFormatPr defaultRowHeight="13.2" x14ac:dyDescent="0.25"/>
  <sheetData>
    <row r="1" spans="1:15" ht="17.399999999999999" x14ac:dyDescent="0.3">
      <c r="A1" s="25" t="s">
        <v>107</v>
      </c>
    </row>
    <row r="4" spans="1:15" ht="12.75" customHeight="1" x14ac:dyDescent="0.25">
      <c r="A4" s="6"/>
      <c r="B4" s="6"/>
      <c r="C4" s="6"/>
      <c r="D4" s="57" t="s">
        <v>34</v>
      </c>
      <c r="E4" s="57"/>
      <c r="F4" s="57"/>
      <c r="G4" s="57"/>
      <c r="H4" s="57"/>
      <c r="I4" s="57"/>
      <c r="J4" s="58" t="s">
        <v>108</v>
      </c>
      <c r="K4" s="58"/>
      <c r="L4" s="58"/>
      <c r="M4" s="58"/>
      <c r="N4" s="58"/>
      <c r="O4" s="58"/>
    </row>
    <row r="5" spans="1:15" ht="66" x14ac:dyDescent="0.25">
      <c r="B5" s="5" t="s">
        <v>19</v>
      </c>
      <c r="C5" s="6" t="s">
        <v>23</v>
      </c>
      <c r="D5" s="5" t="s">
        <v>16</v>
      </c>
      <c r="E5" s="5" t="s">
        <v>17</v>
      </c>
      <c r="F5" s="5" t="s">
        <v>18</v>
      </c>
      <c r="G5" s="5" t="s">
        <v>27</v>
      </c>
      <c r="H5" s="5" t="s">
        <v>80</v>
      </c>
      <c r="I5" s="5" t="s">
        <v>81</v>
      </c>
      <c r="J5" s="5" t="s">
        <v>16</v>
      </c>
      <c r="K5" s="5" t="s">
        <v>17</v>
      </c>
      <c r="L5" s="5" t="s">
        <v>18</v>
      </c>
      <c r="M5" s="5" t="s">
        <v>27</v>
      </c>
      <c r="N5" s="5" t="s">
        <v>80</v>
      </c>
      <c r="O5" s="5" t="s">
        <v>81</v>
      </c>
    </row>
    <row r="6" spans="1:15" x14ac:dyDescent="0.25">
      <c r="A6" s="7" t="s">
        <v>3</v>
      </c>
      <c r="B6" s="3">
        <f>IF(Input!$C$17="Mains",Tables!D18,Tables!F18)</f>
        <v>11.1</v>
      </c>
      <c r="C6" s="1">
        <f>IF(Input!$C$17="Mains",Tables!E18,Tables!G18)</f>
        <v>0.73105134474327627</v>
      </c>
      <c r="D6" s="3">
        <f>Tables!$D$4*Tables!$E$4*Tables!H18</f>
        <v>30.739499999999996</v>
      </c>
      <c r="E6" s="3">
        <f>IF(Input!$C$19&gt;0,IF(Input!$C$18&gt;0,D6*Tables!$C$12/Input!$C$19,D6*Tables!$C$13/Input!$C$19),Tables!$C$14)</f>
        <v>0</v>
      </c>
      <c r="F6" s="3">
        <f t="shared" ref="F6:F17" si="0">E6*C6</f>
        <v>0</v>
      </c>
      <c r="G6" s="3">
        <f>F6*Input!$C$20</f>
        <v>0</v>
      </c>
      <c r="H6" s="17">
        <f>4.18*G6*Tables!C18*(52-B6)/3600</f>
        <v>0</v>
      </c>
      <c r="I6" s="3" t="e">
        <f>H6/(Input!C$22/100)</f>
        <v>#DIV/0!</v>
      </c>
      <c r="J6" s="3">
        <f>Tables!$D$5*Tables!$E$5*Tables!H18</f>
        <v>49.679999999999993</v>
      </c>
      <c r="K6" s="3">
        <f>IF(Input!$C$19&gt;0,IF(Input!$C$18&gt;0,J6*Tables!$C$12/Input!$C$19,J6*Tables!$C$13/Input!$C$19),Tables!$C$14)</f>
        <v>0</v>
      </c>
      <c r="L6" s="3">
        <f t="shared" ref="L6:L17" si="1">K6*C6</f>
        <v>0</v>
      </c>
      <c r="M6" s="3">
        <f>L6*Input!$C$20</f>
        <v>0</v>
      </c>
      <c r="N6" s="17">
        <f>4.18*M6*Tables!C18*(52-B6)/3600</f>
        <v>0</v>
      </c>
      <c r="O6" s="3" t="e">
        <f>N6/(Input!C$22/100)</f>
        <v>#DIV/0!</v>
      </c>
    </row>
    <row r="7" spans="1:15" x14ac:dyDescent="0.25">
      <c r="A7" s="7" t="s">
        <v>4</v>
      </c>
      <c r="B7" s="3">
        <f>IF(Input!$C$17="Mains",Tables!D19,Tables!F19)</f>
        <v>11.3</v>
      </c>
      <c r="C7" s="1">
        <f>IF(Input!$C$17="Mains",Tables!E19,Tables!G19)</f>
        <v>0.72972972972972971</v>
      </c>
      <c r="D7" s="3">
        <f>Tables!$D$4*Tables!$E$4*Tables!H19</f>
        <v>30.323699999999995</v>
      </c>
      <c r="E7" s="3">
        <f>IF(Input!$C$19&gt;0,IF(Input!$C$18&gt;0,D7*Tables!$C$12/Input!$C$19,D7*Tables!$C$13/Input!$C$19),Tables!$C$14)</f>
        <v>0</v>
      </c>
      <c r="F7" s="3">
        <f t="shared" si="0"/>
        <v>0</v>
      </c>
      <c r="G7" s="3">
        <f>F7*Input!$C$20</f>
        <v>0</v>
      </c>
      <c r="H7" s="17">
        <f>4.18*G7*Tables!C19*(52-B7)/3600</f>
        <v>0</v>
      </c>
      <c r="I7" s="3" t="e">
        <f>H7/(Input!D$22/100)</f>
        <v>#DIV/0!</v>
      </c>
      <c r="J7" s="3">
        <f>Tables!$D$5*Tables!$E$5*Tables!H19</f>
        <v>49.007999999999996</v>
      </c>
      <c r="K7" s="3">
        <f>IF(Input!$C$19&gt;0,IF(Input!$C$18&gt;0,J7*Tables!$C$12/Input!$C$19,J7*Tables!$C$13/Input!$C$19),Tables!$C$14)</f>
        <v>0</v>
      </c>
      <c r="L7" s="3">
        <f t="shared" si="1"/>
        <v>0</v>
      </c>
      <c r="M7" s="3">
        <f>L7*Input!$C$20</f>
        <v>0</v>
      </c>
      <c r="N7" s="17">
        <f>4.18*M7*Tables!C19*(52-B7)/3600</f>
        <v>0</v>
      </c>
      <c r="O7" s="3" t="e">
        <f>N7/(Input!D$22/100)</f>
        <v>#DIV/0!</v>
      </c>
    </row>
    <row r="8" spans="1:15" x14ac:dyDescent="0.25">
      <c r="A8" s="7" t="s">
        <v>5</v>
      </c>
      <c r="B8" s="3">
        <f>IF(Input!$C$17="Mains",Tables!D20,Tables!F20)</f>
        <v>12.3</v>
      </c>
      <c r="C8" s="1">
        <f>IF(Input!$C$17="Mains",Tables!E20,Tables!G20)</f>
        <v>0.7229219143576826</v>
      </c>
      <c r="D8" s="3">
        <f>Tables!$D$4*Tables!$E$4*Tables!H20</f>
        <v>29.907899999999998</v>
      </c>
      <c r="E8" s="3">
        <f>IF(Input!$C$19&gt;0,IF(Input!$C$18&gt;0,D8*Tables!$C$12/Input!$C$19,D8*Tables!$C$13/Input!$C$19),Tables!$C$14)</f>
        <v>0</v>
      </c>
      <c r="F8" s="3">
        <f t="shared" si="0"/>
        <v>0</v>
      </c>
      <c r="G8" s="3">
        <f>F8*Input!$C$20</f>
        <v>0</v>
      </c>
      <c r="H8" s="17">
        <f>4.18*G8*Tables!C20*(52-B8)/3600</f>
        <v>0</v>
      </c>
      <c r="I8" s="3" t="e">
        <f>H8/(Input!E$22/100)</f>
        <v>#DIV/0!</v>
      </c>
      <c r="J8" s="3">
        <f>Tables!$D$5*Tables!$E$5*Tables!H20</f>
        <v>48.335999999999999</v>
      </c>
      <c r="K8" s="3">
        <f>IF(Input!$C$19&gt;0,IF(Input!$C$18&gt;0,J8*Tables!$C$12/Input!$C$19,J8*Tables!$C$13/Input!$C$19),Tables!$C$14)</f>
        <v>0</v>
      </c>
      <c r="L8" s="3">
        <f t="shared" si="1"/>
        <v>0</v>
      </c>
      <c r="M8" s="3">
        <f>L8*Input!$C$20</f>
        <v>0</v>
      </c>
      <c r="N8" s="17">
        <f>4.18*M8*Tables!C20*(52-B8)/3600</f>
        <v>0</v>
      </c>
      <c r="O8" s="3" t="e">
        <f>N8/(Input!E$22/100)</f>
        <v>#DIV/0!</v>
      </c>
    </row>
    <row r="9" spans="1:15" x14ac:dyDescent="0.25">
      <c r="A9" s="7" t="s">
        <v>6</v>
      </c>
      <c r="B9" s="3">
        <f>IF(Input!$C$17="Mains",Tables!D21,Tables!F21)</f>
        <v>14.5</v>
      </c>
      <c r="C9" s="1">
        <f>IF(Input!$C$17="Mains",Tables!E21,Tables!G21)</f>
        <v>0.70666666666666667</v>
      </c>
      <c r="D9" s="3">
        <f>Tables!$D$4*Tables!$E$4*Tables!H21</f>
        <v>29.492100000000001</v>
      </c>
      <c r="E9" s="3">
        <f>IF(Input!$C$19&gt;0,IF(Input!$C$18&gt;0,D9*Tables!$C$12/Input!$C$19,D9*Tables!$C$13/Input!$C$19),Tables!$C$14)</f>
        <v>0</v>
      </c>
      <c r="F9" s="3">
        <f t="shared" si="0"/>
        <v>0</v>
      </c>
      <c r="G9" s="3">
        <f>F9*Input!$C$20</f>
        <v>0</v>
      </c>
      <c r="H9" s="17">
        <f>4.18*G9*Tables!C21*(52-B9)/3600</f>
        <v>0</v>
      </c>
      <c r="I9" s="3" t="e">
        <f>H9/(Input!F$22/100)</f>
        <v>#DIV/0!</v>
      </c>
      <c r="J9" s="3">
        <f>Tables!$D$5*Tables!$E$5*Tables!H21</f>
        <v>47.664000000000001</v>
      </c>
      <c r="K9" s="3">
        <f>IF(Input!$C$19&gt;0,IF(Input!$C$18&gt;0,J9*Tables!$C$12/Input!$C$19,J9*Tables!$C$13/Input!$C$19),Tables!$C$14)</f>
        <v>0</v>
      </c>
      <c r="L9" s="3">
        <f t="shared" si="1"/>
        <v>0</v>
      </c>
      <c r="M9" s="3">
        <f>L9*Input!$C$20</f>
        <v>0</v>
      </c>
      <c r="N9" s="17">
        <f>4.18*M9*Tables!C21*(52-B9)/3600</f>
        <v>0</v>
      </c>
      <c r="O9" s="3" t="e">
        <f>N9/(Input!F$22/100)</f>
        <v>#DIV/0!</v>
      </c>
    </row>
    <row r="10" spans="1:15" x14ac:dyDescent="0.25">
      <c r="A10" s="7" t="s">
        <v>7</v>
      </c>
      <c r="B10" s="3">
        <f>IF(Input!$C$17="Mains",Tables!D22,Tables!F22)</f>
        <v>16.2</v>
      </c>
      <c r="C10" s="1">
        <f>IF(Input!$C$17="Mains",Tables!E22,Tables!G22)</f>
        <v>0.69273743016759781</v>
      </c>
      <c r="D10" s="3">
        <f>Tables!$D$4*Tables!$E$4*Tables!H22</f>
        <v>29.0763</v>
      </c>
      <c r="E10" s="3">
        <f>IF(Input!$C$19&gt;0,IF(Input!$C$18&gt;0,D10*Tables!$C$12/Input!$C$19,D10*Tables!$C$13/Input!$C$19),Tables!$C$14)</f>
        <v>0</v>
      </c>
      <c r="F10" s="3">
        <f t="shared" si="0"/>
        <v>0</v>
      </c>
      <c r="G10" s="3">
        <f>F10*Input!$C$20</f>
        <v>0</v>
      </c>
      <c r="H10" s="17">
        <f>4.18*G10*Tables!C22*(52-B10)/3600</f>
        <v>0</v>
      </c>
      <c r="I10" s="3" t="e">
        <f>H10/(Input!G$22/100)</f>
        <v>#DIV/0!</v>
      </c>
      <c r="J10" s="3">
        <f>Tables!$D$5*Tables!$E$5*Tables!H22</f>
        <v>46.991999999999997</v>
      </c>
      <c r="K10" s="3">
        <f>IF(Input!$C$19&gt;0,IF(Input!$C$18&gt;0,J10*Tables!$C$12/Input!$C$19,J10*Tables!$C$13/Input!$C$19),Tables!$C$14)</f>
        <v>0</v>
      </c>
      <c r="L10" s="3">
        <f t="shared" si="1"/>
        <v>0</v>
      </c>
      <c r="M10" s="3">
        <f>L10*Input!$C$20</f>
        <v>0</v>
      </c>
      <c r="N10" s="17">
        <f>4.18*M10*Tables!C22*(52-B10)/3600</f>
        <v>0</v>
      </c>
      <c r="O10" s="3" t="e">
        <f>N10/(Input!G$22/100)</f>
        <v>#DIV/0!</v>
      </c>
    </row>
    <row r="11" spans="1:15" x14ac:dyDescent="0.25">
      <c r="A11" s="7" t="s">
        <v>8</v>
      </c>
      <c r="B11" s="3">
        <f>IF(Input!$C$17="Mains",Tables!D23,Tables!F23)</f>
        <v>18.8</v>
      </c>
      <c r="C11" s="1">
        <f>IF(Input!$C$17="Mains",Tables!E23,Tables!G23)</f>
        <v>0.6686746987951806</v>
      </c>
      <c r="D11" s="3">
        <f>Tables!$D$4*Tables!$E$4*Tables!H23</f>
        <v>28.660499999999999</v>
      </c>
      <c r="E11" s="3">
        <f>IF(Input!$C$19&gt;0,IF(Input!$C$18&gt;0,D11*Tables!$C$12/Input!$C$19,D11*Tables!$C$13/Input!$C$19),Tables!$C$14)</f>
        <v>0</v>
      </c>
      <c r="F11" s="3">
        <f t="shared" si="0"/>
        <v>0</v>
      </c>
      <c r="G11" s="3">
        <f>F11*Input!$C$20</f>
        <v>0</v>
      </c>
      <c r="H11" s="17">
        <f>4.18*G11*Tables!C23*(52-B11)/3600</f>
        <v>0</v>
      </c>
      <c r="I11" s="3" t="e">
        <f>H11/(Input!H$22/100)</f>
        <v>#DIV/0!</v>
      </c>
      <c r="J11" s="3">
        <f>Tables!$D$5*Tables!$E$5*Tables!H23</f>
        <v>46.32</v>
      </c>
      <c r="K11" s="3">
        <f>IF(Input!$C$19&gt;0,IF(Input!$C$18&gt;0,J11*Tables!$C$12/Input!$C$19,J11*Tables!$C$13/Input!$C$19),Tables!$C$14)</f>
        <v>0</v>
      </c>
      <c r="L11" s="3">
        <f t="shared" si="1"/>
        <v>0</v>
      </c>
      <c r="M11" s="3">
        <f>L11*Input!$C$20</f>
        <v>0</v>
      </c>
      <c r="N11" s="17">
        <f>4.18*M11*Tables!C23*(52-B11)/3600</f>
        <v>0</v>
      </c>
      <c r="O11" s="3" t="e">
        <f>N11/(Input!H$22/100)</f>
        <v>#DIV/0!</v>
      </c>
    </row>
    <row r="12" spans="1:15" x14ac:dyDescent="0.25">
      <c r="A12" s="7" t="s">
        <v>9</v>
      </c>
      <c r="B12" s="3">
        <f>IF(Input!$C$17="Mains",Tables!D24,Tables!F24)</f>
        <v>21.3</v>
      </c>
      <c r="C12" s="1">
        <f>IF(Input!$C$17="Mains",Tables!E24,Tables!G24)</f>
        <v>0.64169381107491852</v>
      </c>
      <c r="D12" s="3">
        <f>Tables!$D$4*Tables!$E$4*Tables!H24</f>
        <v>28.660499999999999</v>
      </c>
      <c r="E12" s="3">
        <f>IF(Input!$C$19&gt;0,IF(Input!$C$18&gt;0,D12*Tables!$C$12/Input!$C$19,D12*Tables!$C$13/Input!$C$19),Tables!$C$14)</f>
        <v>0</v>
      </c>
      <c r="F12" s="3">
        <f t="shared" si="0"/>
        <v>0</v>
      </c>
      <c r="G12" s="3">
        <f>F12*Input!$C$20</f>
        <v>0</v>
      </c>
      <c r="H12" s="17">
        <f>4.18*G12*Tables!C24*(52-B12)/3600</f>
        <v>0</v>
      </c>
      <c r="I12" s="3" t="e">
        <f>H12/(Input!I$22/100)</f>
        <v>#DIV/0!</v>
      </c>
      <c r="J12" s="3">
        <f>Tables!$D$5*Tables!$E$5*Tables!H24</f>
        <v>46.32</v>
      </c>
      <c r="K12" s="3">
        <f>IF(Input!$C$19&gt;0,IF(Input!$C$18&gt;0,J12*Tables!$C$12/Input!$C$19,J12*Tables!$C$13/Input!$C$19),Tables!$C$14)</f>
        <v>0</v>
      </c>
      <c r="L12" s="3">
        <f t="shared" si="1"/>
        <v>0</v>
      </c>
      <c r="M12" s="3">
        <f>L12*Input!$C$20</f>
        <v>0</v>
      </c>
      <c r="N12" s="17">
        <f>4.18*M12*Tables!C24*(52-B12)/3600</f>
        <v>0</v>
      </c>
      <c r="O12" s="3" t="e">
        <f>N12/(Input!I$22/100)</f>
        <v>#DIV/0!</v>
      </c>
    </row>
    <row r="13" spans="1:15" x14ac:dyDescent="0.25">
      <c r="A13" s="7" t="s">
        <v>10</v>
      </c>
      <c r="B13" s="3">
        <f>IF(Input!$C$17="Mains",Tables!D25,Tables!F25)</f>
        <v>19.3</v>
      </c>
      <c r="C13" s="1">
        <f>IF(Input!$C$17="Mains",Tables!E25,Tables!G25)</f>
        <v>0.66360856269113144</v>
      </c>
      <c r="D13" s="3">
        <f>Tables!$D$4*Tables!$E$4*Tables!H25</f>
        <v>29.0763</v>
      </c>
      <c r="E13" s="3">
        <f>IF(Input!$C$19&gt;0,IF(Input!$C$18&gt;0,D13*Tables!$C$12/Input!$C$19,D13*Tables!$C$13/Input!$C$19),Tables!$C$14)</f>
        <v>0</v>
      </c>
      <c r="F13" s="3">
        <f t="shared" si="0"/>
        <v>0</v>
      </c>
      <c r="G13" s="3">
        <f>F13*Input!$C$20</f>
        <v>0</v>
      </c>
      <c r="H13" s="17">
        <f>4.18*G13*Tables!C25*(52-B13)/3600</f>
        <v>0</v>
      </c>
      <c r="I13" s="3" t="e">
        <f>H13/(Input!J$22/100)</f>
        <v>#DIV/0!</v>
      </c>
      <c r="J13" s="3">
        <f>Tables!$D$5*Tables!$E$5*Tables!H25</f>
        <v>46.991999999999997</v>
      </c>
      <c r="K13" s="3">
        <f>IF(Input!$C$19&gt;0,IF(Input!$C$18&gt;0,J13*Tables!$C$12/Input!$C$19,J13*Tables!$C$13/Input!$C$19),Tables!$C$14)</f>
        <v>0</v>
      </c>
      <c r="L13" s="3">
        <f t="shared" si="1"/>
        <v>0</v>
      </c>
      <c r="M13" s="3">
        <f>L13*Input!$C$20</f>
        <v>0</v>
      </c>
      <c r="N13" s="17">
        <f>4.18*M13*Tables!C25*(52-B13)/3600</f>
        <v>0</v>
      </c>
      <c r="O13" s="3" t="e">
        <f>N13/(Input!J$22/100)</f>
        <v>#DIV/0!</v>
      </c>
    </row>
    <row r="14" spans="1:15" x14ac:dyDescent="0.25">
      <c r="A14" s="7" t="s">
        <v>11</v>
      </c>
      <c r="B14" s="3">
        <f>IF(Input!$C$17="Mains",Tables!D26,Tables!F26)</f>
        <v>18.7</v>
      </c>
      <c r="C14" s="1">
        <f>IF(Input!$C$17="Mains",Tables!E26,Tables!G26)</f>
        <v>0.66966966966966979</v>
      </c>
      <c r="D14" s="3">
        <f>Tables!$D$4*Tables!$E$4*Tables!H26</f>
        <v>29.492100000000001</v>
      </c>
      <c r="E14" s="3">
        <f>IF(Input!$C$19&gt;0,IF(Input!$C$18&gt;0,D14*Tables!$C$12/Input!$C$19,D14*Tables!$C$13/Input!$C$19),Tables!$C$14)</f>
        <v>0</v>
      </c>
      <c r="F14" s="3">
        <f t="shared" si="0"/>
        <v>0</v>
      </c>
      <c r="G14" s="3">
        <f>F14*Input!$C$20</f>
        <v>0</v>
      </c>
      <c r="H14" s="17">
        <f>4.18*G14*Tables!C26*(52-B14)/3600</f>
        <v>0</v>
      </c>
      <c r="I14" s="3" t="e">
        <f>H14/(Input!K$22/100)</f>
        <v>#DIV/0!</v>
      </c>
      <c r="J14" s="3">
        <f>Tables!$D$5*Tables!$E$5*Tables!H26</f>
        <v>47.664000000000001</v>
      </c>
      <c r="K14" s="3">
        <f>IF(Input!$C$19&gt;0,IF(Input!$C$18&gt;0,J14*Tables!$C$12/Input!$C$19,J14*Tables!$C$13/Input!$C$19),Tables!$C$14)</f>
        <v>0</v>
      </c>
      <c r="L14" s="3">
        <f t="shared" si="1"/>
        <v>0</v>
      </c>
      <c r="M14" s="3">
        <f>L14*Input!$C$20</f>
        <v>0</v>
      </c>
      <c r="N14" s="17">
        <f>4.18*M14*Tables!C26*(52-B14)/3600</f>
        <v>0</v>
      </c>
      <c r="O14" s="3" t="e">
        <f>N14/(Input!K$22/100)</f>
        <v>#DIV/0!</v>
      </c>
    </row>
    <row r="15" spans="1:15" x14ac:dyDescent="0.25">
      <c r="A15" s="7" t="s">
        <v>12</v>
      </c>
      <c r="B15" s="3">
        <f>IF(Input!$C$17="Mains",Tables!D27,Tables!F27)</f>
        <v>16.2</v>
      </c>
      <c r="C15" s="1">
        <f>IF(Input!$C$17="Mains",Tables!E27,Tables!G27)</f>
        <v>0.69273743016759781</v>
      </c>
      <c r="D15" s="3">
        <f>Tables!$D$4*Tables!$E$4*Tables!H27</f>
        <v>29.907899999999998</v>
      </c>
      <c r="E15" s="3">
        <f>IF(Input!$C$19&gt;0,IF(Input!$C$18&gt;0,D15*Tables!$C$12/Input!$C$19,D15*Tables!$C$13/Input!$C$19),Tables!$C$14)</f>
        <v>0</v>
      </c>
      <c r="F15" s="3">
        <f t="shared" si="0"/>
        <v>0</v>
      </c>
      <c r="G15" s="3">
        <f>F15*Input!$C$20</f>
        <v>0</v>
      </c>
      <c r="H15" s="17">
        <f>4.18*G15*Tables!C27*(52-B15)/3600</f>
        <v>0</v>
      </c>
      <c r="I15" s="3" t="e">
        <f>H15/(Input!L$22/100)</f>
        <v>#DIV/0!</v>
      </c>
      <c r="J15" s="3">
        <f>Tables!$D$5*Tables!$E$5*Tables!H27</f>
        <v>48.335999999999999</v>
      </c>
      <c r="K15" s="3">
        <f>IF(Input!$C$19&gt;0,IF(Input!$C$18&gt;0,J15*Tables!$C$12/Input!$C$19,J15*Tables!$C$13/Input!$C$19),Tables!$C$14)</f>
        <v>0</v>
      </c>
      <c r="L15" s="3">
        <f t="shared" si="1"/>
        <v>0</v>
      </c>
      <c r="M15" s="3">
        <f>L15*Input!$C$20</f>
        <v>0</v>
      </c>
      <c r="N15" s="17">
        <f>4.18*M15*Tables!C27*(52-B15)/3600</f>
        <v>0</v>
      </c>
      <c r="O15" s="3" t="e">
        <f>N15/(Input!L$22/100)</f>
        <v>#DIV/0!</v>
      </c>
    </row>
    <row r="16" spans="1:15" x14ac:dyDescent="0.25">
      <c r="A16" s="7" t="s">
        <v>13</v>
      </c>
      <c r="B16" s="3">
        <f>IF(Input!$C$17="Mains",Tables!D28,Tables!F28)</f>
        <v>13.2</v>
      </c>
      <c r="C16" s="1">
        <f>IF(Input!$C$17="Mains",Tables!E28,Tables!G28)</f>
        <v>0.71649484536082486</v>
      </c>
      <c r="D16" s="3">
        <f>Tables!$D$4*Tables!$E$4*Tables!H28</f>
        <v>30.323699999999995</v>
      </c>
      <c r="E16" s="3">
        <f>IF(Input!$C$19&gt;0,IF(Input!$C$18&gt;0,D16*Tables!$C$12/Input!$C$19,D16*Tables!$C$13/Input!$C$19),Tables!$C$14)</f>
        <v>0</v>
      </c>
      <c r="F16" s="3">
        <f t="shared" si="0"/>
        <v>0</v>
      </c>
      <c r="G16" s="3">
        <f>F16*Input!$C$20</f>
        <v>0</v>
      </c>
      <c r="H16" s="17">
        <f>4.18*G16*Tables!C28*(52-B16)/3600</f>
        <v>0</v>
      </c>
      <c r="I16" s="3" t="e">
        <f>H16/(Input!M$22/100)</f>
        <v>#DIV/0!</v>
      </c>
      <c r="J16" s="3">
        <f>Tables!$D$5*Tables!$E$5*Tables!H28</f>
        <v>49.007999999999996</v>
      </c>
      <c r="K16" s="3">
        <f>IF(Input!$C$19&gt;0,IF(Input!$C$18&gt;0,J16*Tables!$C$12/Input!$C$19,J16*Tables!$C$13/Input!$C$19),Tables!$C$14)</f>
        <v>0</v>
      </c>
      <c r="L16" s="3">
        <f t="shared" si="1"/>
        <v>0</v>
      </c>
      <c r="M16" s="3">
        <f>L16*Input!$C$20</f>
        <v>0</v>
      </c>
      <c r="N16" s="17">
        <f>4.18*M16*Tables!C28*(52-B16)/3600</f>
        <v>0</v>
      </c>
      <c r="O16" s="3" t="e">
        <f>N16/(Input!M$22/100)</f>
        <v>#DIV/0!</v>
      </c>
    </row>
    <row r="17" spans="1:15" x14ac:dyDescent="0.25">
      <c r="A17" s="7" t="s">
        <v>14</v>
      </c>
      <c r="B17" s="3">
        <f>IF(Input!$C$17="Mains",Tables!D29,Tables!F29)</f>
        <v>11.2</v>
      </c>
      <c r="C17" s="1">
        <f>IF(Input!$C$17="Mains",Tables!E29,Tables!G29)</f>
        <v>0.73039215686274517</v>
      </c>
      <c r="D17" s="3">
        <f>Tables!$D$4*Tables!$E$4*Tables!H29</f>
        <v>30.739499999999996</v>
      </c>
      <c r="E17" s="3">
        <f>IF(Input!$C$19&gt;0,IF(Input!$C$18&gt;0,D17*Tables!$C$12/Input!$C$19,D17*Tables!$C$13/Input!$C$19),Tables!$C$14)</f>
        <v>0</v>
      </c>
      <c r="F17" s="3">
        <f t="shared" si="0"/>
        <v>0</v>
      </c>
      <c r="G17" s="3">
        <f>F17*Input!$C$20</f>
        <v>0</v>
      </c>
      <c r="H17" s="17">
        <f>4.18*G17*Tables!C29*(52-B17)/3600</f>
        <v>0</v>
      </c>
      <c r="I17" s="3" t="e">
        <f>H17/(Input!N$22/100)</f>
        <v>#DIV/0!</v>
      </c>
      <c r="J17" s="3">
        <f>Tables!$D$5*Tables!$E$5*Tables!H29</f>
        <v>49.679999999999993</v>
      </c>
      <c r="K17" s="3">
        <f>IF(Input!$C$19&gt;0,IF(Input!$C$18&gt;0,J17*Tables!$C$12/Input!$C$19,J17*Tables!$C$13/Input!$C$19),Tables!$C$14)</f>
        <v>0</v>
      </c>
      <c r="L17" s="3">
        <f t="shared" si="1"/>
        <v>0</v>
      </c>
      <c r="M17" s="3">
        <f>L17*Input!$C$20</f>
        <v>0</v>
      </c>
      <c r="N17" s="17">
        <f>4.18*M17*Tables!C29*(52-B17)/3600</f>
        <v>0</v>
      </c>
      <c r="O17" s="3" t="e">
        <f>N17/(Input!N$22/100)</f>
        <v>#DIV/0!</v>
      </c>
    </row>
    <row r="18" spans="1:15" x14ac:dyDescent="0.25">
      <c r="H18" s="17"/>
      <c r="I18" s="43" t="e">
        <f>SUM(I6:I17)</f>
        <v>#DIV/0!</v>
      </c>
      <c r="N18" s="17"/>
      <c r="O18" s="43" t="e">
        <f>SUM(O6:O17)</f>
        <v>#DIV/0!</v>
      </c>
    </row>
    <row r="19" spans="1:15" x14ac:dyDescent="0.25">
      <c r="O19" s="14"/>
    </row>
    <row r="20" spans="1:15" x14ac:dyDescent="0.25">
      <c r="C20" s="52" t="s">
        <v>33</v>
      </c>
      <c r="D20" s="55" t="s">
        <v>26</v>
      </c>
      <c r="E20" s="55"/>
      <c r="F20" s="56" t="s">
        <v>47</v>
      </c>
      <c r="G20" s="56"/>
      <c r="H20" s="56"/>
    </row>
    <row r="21" spans="1:15" x14ac:dyDescent="0.25">
      <c r="C21" s="52"/>
      <c r="D21" s="13" t="s">
        <v>49</v>
      </c>
      <c r="E21" s="13" t="s">
        <v>53</v>
      </c>
      <c r="F21" s="13" t="s">
        <v>49</v>
      </c>
      <c r="G21" s="13" t="s">
        <v>53</v>
      </c>
      <c r="H21" s="31" t="s">
        <v>24</v>
      </c>
      <c r="I21" s="13"/>
    </row>
    <row r="22" spans="1:15" x14ac:dyDescent="0.25">
      <c r="B22" s="7" t="s">
        <v>0</v>
      </c>
      <c r="C22" s="2">
        <f>Tables!C12</f>
        <v>0.65</v>
      </c>
      <c r="D22" s="3">
        <f>C22*Tables!$E$4/60</f>
        <v>7.1499999999999994E-2</v>
      </c>
      <c r="E22" s="30">
        <f>24*Input!$C$20-D22</f>
        <v>-7.1499999999999994E-2</v>
      </c>
      <c r="F22" s="3">
        <f>D22*Tables!$D$8*365/1000</f>
        <v>1.304875</v>
      </c>
      <c r="G22" s="3">
        <f>E22*Tables!$D$9*365/1000</f>
        <v>-7.8292499999999987E-2</v>
      </c>
      <c r="H22" s="8">
        <f>SUM(F22:G22)</f>
        <v>1.2265825000000001</v>
      </c>
      <c r="I22" s="3"/>
    </row>
    <row r="23" spans="1:15" x14ac:dyDescent="0.25">
      <c r="B23" s="7" t="s">
        <v>1</v>
      </c>
      <c r="C23" s="2">
        <f>Tables!C13</f>
        <v>0.83</v>
      </c>
      <c r="D23" s="3">
        <f>C23*Tables!$E$4/60</f>
        <v>9.1299999999999992E-2</v>
      </c>
      <c r="E23" s="30">
        <f>24*Input!$C$20-D23</f>
        <v>-9.1299999999999992E-2</v>
      </c>
      <c r="F23" s="3">
        <f>D23*Tables!$D$8*365/1000</f>
        <v>1.6662249999999998</v>
      </c>
      <c r="G23" s="3">
        <f>E23*Tables!$D$9*365/1000</f>
        <v>-9.9973499999999993E-2</v>
      </c>
      <c r="H23" s="8">
        <f>SUM(F23:G23)</f>
        <v>1.5662514999999999</v>
      </c>
      <c r="I23" s="3"/>
    </row>
    <row r="24" spans="1:15" x14ac:dyDescent="0.25">
      <c r="B24" s="7" t="s">
        <v>2</v>
      </c>
      <c r="C24">
        <f>Tables!C14</f>
        <v>0</v>
      </c>
      <c r="D24" s="3">
        <f>C24*Tables!$E$4/60</f>
        <v>0</v>
      </c>
      <c r="E24" s="30">
        <f>24*Input!$C$20-D24</f>
        <v>0</v>
      </c>
      <c r="F24" s="3">
        <f>D24*Tables!$D$8*365/1000</f>
        <v>0</v>
      </c>
      <c r="G24" s="3">
        <v>0</v>
      </c>
      <c r="H24" s="8">
        <f>SUM(F24:G24)</f>
        <v>0</v>
      </c>
      <c r="I24" s="3"/>
    </row>
  </sheetData>
  <mergeCells count="5">
    <mergeCell ref="C20:C21"/>
    <mergeCell ref="D20:E20"/>
    <mergeCell ref="F20:H20"/>
    <mergeCell ref="D4:I4"/>
    <mergeCell ref="J4:O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B757C-E163-491B-8DF2-248C460347C1}">
  <dimension ref="A1:C6"/>
  <sheetViews>
    <sheetView showGridLines="0" workbookViewId="0"/>
  </sheetViews>
  <sheetFormatPr defaultRowHeight="13.2" x14ac:dyDescent="0.25"/>
  <cols>
    <col min="3" max="3" width="60.109375" bestFit="1" customWidth="1"/>
  </cols>
  <sheetData>
    <row r="1" spans="1:3" ht="17.399999999999999" x14ac:dyDescent="0.3">
      <c r="A1" s="25" t="s">
        <v>40</v>
      </c>
    </row>
    <row r="3" spans="1:3" x14ac:dyDescent="0.25">
      <c r="A3" s="9" t="s">
        <v>41</v>
      </c>
      <c r="B3" s="9" t="s">
        <v>42</v>
      </c>
      <c r="C3" s="9" t="s">
        <v>43</v>
      </c>
    </row>
    <row r="4" spans="1:3" x14ac:dyDescent="0.25">
      <c r="A4" s="26">
        <v>45413</v>
      </c>
      <c r="B4">
        <v>1</v>
      </c>
      <c r="C4" t="s">
        <v>44</v>
      </c>
    </row>
    <row r="5" spans="1:3" x14ac:dyDescent="0.25">
      <c r="A5" s="26">
        <v>45413</v>
      </c>
      <c r="B5">
        <v>2</v>
      </c>
      <c r="C5" t="s">
        <v>88</v>
      </c>
    </row>
    <row r="6" spans="1:3" x14ac:dyDescent="0.25">
      <c r="A6" s="26">
        <v>45474</v>
      </c>
      <c r="B6">
        <v>3</v>
      </c>
      <c r="C6" t="s">
        <v>109</v>
      </c>
    </row>
  </sheetData>
  <sheetProtection algorithmName="SHA-512" hashValue="lWUPwVB7vFrDjXgd0MQaioYZzaXig3v2MUEcfIV9HVMmB+wKVKL0PqaedcOfe46i1/n0QdoSLymS+93zXFbXpg==" saltValue="biM5VKmXdf9JcwaAHQU8Tw==" spinCount="100000" sheet="1" objects="1" scenario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8F482BB0DEE34796778806672EBD1E" ma:contentTypeVersion="18" ma:contentTypeDescription="Create a new document." ma:contentTypeScope="" ma:versionID="1b234d6d650aabacc6fefda8be300f96">
  <xsd:schema xmlns:xsd="http://www.w3.org/2001/XMLSchema" xmlns:xs="http://www.w3.org/2001/XMLSchema" xmlns:p="http://schemas.microsoft.com/office/2006/metadata/properties" xmlns:ns2="da7c555f-8057-4c73-b12f-18d69bce06d1" xmlns:ns3="e2fb4e91-ee4b-4ec1-b363-7d1e23e17cdd" targetNamespace="http://schemas.microsoft.com/office/2006/metadata/properties" ma:root="true" ma:fieldsID="60f8b3cc9994dd15011a74e58cfb0516" ns2:_="" ns3:_="">
    <xsd:import namespace="da7c555f-8057-4c73-b12f-18d69bce06d1"/>
    <xsd:import namespace="e2fb4e91-ee4b-4ec1-b363-7d1e23e17c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7c555f-8057-4c73-b12f-18d69bce06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162c608-1b84-4ac6-a0c9-e2eda6bf67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fb4e91-ee4b-4ec1-b363-7d1e23e17cd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dbd5c4e-dcb3-481e-99bc-ac1bb0b20b74}" ma:internalName="TaxCatchAll" ma:showField="CatchAllData" ma:web="e2fb4e91-ee4b-4ec1-b363-7d1e23e17c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7c555f-8057-4c73-b12f-18d69bce06d1">
      <Terms xmlns="http://schemas.microsoft.com/office/infopath/2007/PartnerControls"/>
    </lcf76f155ced4ddcb4097134ff3c332f>
    <TaxCatchAll xmlns="e2fb4e91-ee4b-4ec1-b363-7d1e23e17cdd" xsi:nil="true"/>
  </documentManagement>
</p:properties>
</file>

<file path=customXml/itemProps1.xml><?xml version="1.0" encoding="utf-8"?>
<ds:datastoreItem xmlns:ds="http://schemas.openxmlformats.org/officeDocument/2006/customXml" ds:itemID="{F7C903AD-7F0F-4A89-8E4D-C014B3885632}"/>
</file>

<file path=customXml/itemProps2.xml><?xml version="1.0" encoding="utf-8"?>
<ds:datastoreItem xmlns:ds="http://schemas.openxmlformats.org/officeDocument/2006/customXml" ds:itemID="{3F24B42D-6F6B-4624-927C-4A3CE5501F57}"/>
</file>

<file path=customXml/itemProps3.xml><?xml version="1.0" encoding="utf-8"?>
<ds:datastoreItem xmlns:ds="http://schemas.openxmlformats.org/officeDocument/2006/customXml" ds:itemID="{FBFF89DC-1512-4153-90CC-9043A9CD34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Input</vt:lpstr>
      <vt:lpstr>Tables</vt:lpstr>
      <vt:lpstr>Calculation</vt:lpstr>
      <vt:lpstr>Version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Hartless, Richard</dc:creator>
  <cp:lastModifiedBy>Dharm Sivarajah</cp:lastModifiedBy>
  <dcterms:created xsi:type="dcterms:W3CDTF">2022-07-19T09:40:49Z</dcterms:created>
  <dcterms:modified xsi:type="dcterms:W3CDTF">2024-07-25T12:48:30Z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0x010100698F482BB0DEE34796778806672EBD1E</vt:lpwstr>
  </property>
</Properties>
</file>