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bretrust-my.sharepoint.com/personal/ben_halls_bregroup_com/Documents/Documents/"/>
    </mc:Choice>
  </mc:AlternateContent>
  <xr:revisionPtr revIDLastSave="0" documentId="8_{6805638D-D6E1-4051-A3D2-9CDD5FF27A18}" xr6:coauthVersionLast="47" xr6:coauthVersionMax="47" xr10:uidLastSave="{00000000-0000-0000-0000-000000000000}"/>
  <bookViews>
    <workbookView xWindow="-110" yWindow="-110" windowWidth="19420" windowHeight="10300" tabRatio="624" activeTab="4" xr2:uid="{00000000-000D-0000-FFFF-FFFF00000000}"/>
  </bookViews>
  <sheets>
    <sheet name="Instructions" sheetId="1" r:id="rId1"/>
    <sheet name="Select System" sheetId="6" r:id="rId2"/>
    <sheet name="Dwelling data" sheetId="2" r:id="rId3"/>
    <sheet name="SAP10 Savings" sheetId="10" r:id="rId4"/>
    <sheet name="Details" sheetId="17" r:id="rId5"/>
    <sheet name="Checklist" sheetId="14" r:id="rId6"/>
    <sheet name="SAP Tables" sheetId="11" r:id="rId7"/>
    <sheet name="Dropdowns" sheetId="13" state="hidden" r:id="rId8"/>
    <sheet name="Changecontrol" sheetId="8" r:id="rId9"/>
  </sheets>
  <definedNames>
    <definedName name="_ftnref1" localSheetId="4">Dropdowns!$C$3</definedName>
    <definedName name="_GoBack" localSheetId="2">#REF!</definedName>
    <definedName name="A" localSheetId="4">Details!#REF!</definedName>
    <definedName name="A">#REF!</definedName>
    <definedName name="B" localSheetId="4">Details!#REF!</definedName>
    <definedName name="B">#REF!</definedName>
    <definedName name="beta" localSheetId="4">Details!$AY$172</definedName>
    <definedName name="beta">#REF!</definedName>
    <definedName name="boiler">'SAP Tables'!$I$5</definedName>
    <definedName name="C_" localSheetId="4">Details!#REF!</definedName>
    <definedName name="C_">#REF!</definedName>
    <definedName name="checklist_yn">'Dwelling data'!$D$17</definedName>
    <definedName name="divert_sav_mix" localSheetId="4">Details!$AY$181</definedName>
    <definedName name="divert_sav_stan" localSheetId="4">Details!$AZ$181</definedName>
    <definedName name="diverter_present">'Dwelling data'!$D$23</definedName>
    <definedName name="diverter_ratio_mix" localSheetId="4">Details!$AY$179</definedName>
    <definedName name="diverter_ratio_stan" localSheetId="4">Details!$AZ$179</definedName>
    <definedName name="Elec_lighting">'Dwelling data'!#REF!</definedName>
    <definedName name="Elec_misc" localSheetId="4">Details!#REF!</definedName>
    <definedName name="Elec_misc">#REF!</definedName>
    <definedName name="electricity_tariff">'Dwelling data'!$D$25</definedName>
    <definedName name="excessPV">'Dwelling data'!#REF!</definedName>
    <definedName name="fPV_diverter_storageloss">'SAP Tables'!$K$109</definedName>
    <definedName name="fPV_diverter_storageloss_mixergy">'SAP Tables'!$K$110</definedName>
    <definedName name="full_sap">Dropdowns!$I$11</definedName>
    <definedName name="gas_sys">'SAP Tables'!$K$3</definedName>
    <definedName name="heat_pump1">'SAP Tables'!$K$9</definedName>
    <definedName name="heatpump1">'SAP Tables'!$I$7</definedName>
    <definedName name="heatpump2">'SAP Tables'!$K$10</definedName>
    <definedName name="heatpumpair">'SAP Tables'!$I$8</definedName>
    <definedName name="heatpumpgroundwater">'SAP Tables'!$I$7</definedName>
    <definedName name="high_rate" localSheetId="4">Details!#REF!</definedName>
    <definedName name="high_rate">#REF!</definedName>
    <definedName name="high_rate_fraction_1">'SAP Tables'!$M$104</definedName>
    <definedName name="high_rate_fraction_2">'SAP Tables'!$M$105</definedName>
    <definedName name="high_rate_fraction_secon">'SAP Tables'!$M$106</definedName>
    <definedName name="HWD_minusPV" localSheetId="4">Details!$AY$180</definedName>
    <definedName name="HWD_minusPV">#REF!</definedName>
    <definedName name="HWD_minusPV_eff" localSheetId="4">Details!$AY$185</definedName>
    <definedName name="HWD_minusPV_eff">#REF!</definedName>
    <definedName name="HWD_minusPV_eff_stan" localSheetId="4">Details!$AZ$185</definedName>
    <definedName name="HWD_minusPV_eff_stan">#REF!</definedName>
    <definedName name="HWD_reduc_mix" localSheetId="4">Details!#REF!</definedName>
    <definedName name="HWD_reduc_mix">#REF!</definedName>
    <definedName name="HWD_reduc_stan" localSheetId="4">Details!#REF!</definedName>
    <definedName name="HWD_reduc_stan">#REF!</definedName>
    <definedName name="HWD_reduction" localSheetId="4">Details!$AZ$180</definedName>
    <definedName name="HWD_reduction">#REF!</definedName>
    <definedName name="HWD_reduction_mix" localSheetId="4">Details!$AY$180</definedName>
    <definedName name="main_space_sys1">'Dwelling data'!$D$27</definedName>
    <definedName name="main_space_sys2">'SAP Tables'!$K$105</definedName>
    <definedName name="NA">'SAP Tables'!$I$14</definedName>
    <definedName name="Non_electric_system">'SAP Tables'!$I$4</definedName>
    <definedName name="occupants">Details!$C$3</definedName>
    <definedName name="oil_sys">'SAP Tables'!$K$4</definedName>
    <definedName name="On_peak_frac_water" localSheetId="4">Details!$C$21</definedName>
    <definedName name="On_peak_frac_water">#REF!</definedName>
    <definedName name="On_peak_fraction" localSheetId="4">Details!#REF!</definedName>
    <definedName name="On_peak_fraction">#REF!</definedName>
    <definedName name="orientation">'Dwelling data'!#REF!</definedName>
    <definedName name="phi" localSheetId="4">Details!#REF!</definedName>
    <definedName name="phi">#REF!</definedName>
    <definedName name="pitch" localSheetId="4">Details!#REF!</definedName>
    <definedName name="pitch">#REF!</definedName>
    <definedName name="pitch2">'Dwelling data'!#REF!</definedName>
    <definedName name="pumps_elec">'Dwelling data'!#REF!</definedName>
    <definedName name="pv_export">'Dwelling data'!#REF!</definedName>
    <definedName name="pv_onsite">'Dwelling data'!#REF!</definedName>
    <definedName name="R_PV" localSheetId="4">Details!$AY$171</definedName>
    <definedName name="R_PV">#REF!</definedName>
    <definedName name="rd_sap">Dropdowns!$I$12</definedName>
    <definedName name="region">'Dwelling data'!#REF!</definedName>
    <definedName name="sap_type">'Dwelling data'!$D$5</definedName>
    <definedName name="second_space_elec">'Dwelling data'!#REF!</definedName>
    <definedName name="second_space_fuel">'Dwelling data'!#REF!</definedName>
    <definedName name="secondary_space_heat_yn">'Dwelling data'!#REF!</definedName>
    <definedName name="solar_annual" localSheetId="4">Details!#REF!</definedName>
    <definedName name="solar_annual">#REF!</definedName>
    <definedName name="solid_sys">'SAP Tables'!$K$5</definedName>
    <definedName name="standard_tariff">Dropdowns!$B$14</definedName>
    <definedName name="Sys_Idx">'Dwelling data'!$D$8</definedName>
    <definedName name="Sys_Idx_no">'Dwelling data'!$D$8</definedName>
    <definedName name="Sys_Index_no">'Dwelling data'!$D$8</definedName>
    <definedName name="Sys_tariff">'SAP Tables'!$K$108</definedName>
    <definedName name="tank_selected">'Select System'!$H$3</definedName>
    <definedName name="tank_size">'Dwelling data'!$D$14</definedName>
    <definedName name="TFA">'Dwelling data'!$D$24</definedName>
    <definedName name="underfloor">'SAP Tables'!$I$6</definedName>
    <definedName name="Water_demand_savings_mix" localSheetId="4">Details!$AY$186</definedName>
    <definedName name="Water_demand_savings_stan" localSheetId="4">Details!$AZ$186</definedName>
    <definedName name="water_heat_eff">'Dwelling data'!$D$30</definedName>
    <definedName name="water_heat_fuel">'Dwelling data'!$D$29</definedName>
    <definedName name="water_heat_peak" localSheetId="4">Details!$AY$167</definedName>
    <definedName name="water_heat_sys">'Dwelling data'!$D$28</definedName>
    <definedName name="water_heat_tariff">'SAP Tables'!$K$107</definedName>
    <definedName name="waterheat_fue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7" l="1"/>
  <c r="E4" i="17"/>
  <c r="F4" i="17"/>
  <c r="G4" i="17"/>
  <c r="H4" i="17"/>
  <c r="I4" i="17"/>
  <c r="J4" i="17"/>
  <c r="K4" i="17"/>
  <c r="L4" i="17"/>
  <c r="M4" i="17"/>
  <c r="N4" i="17"/>
  <c r="D5" i="17"/>
  <c r="E5" i="17"/>
  <c r="F5" i="17"/>
  <c r="G5" i="17"/>
  <c r="H5" i="17"/>
  <c r="I5" i="17"/>
  <c r="J5" i="17"/>
  <c r="K5" i="17"/>
  <c r="L5" i="17"/>
  <c r="M5" i="17"/>
  <c r="N5" i="17"/>
  <c r="D6" i="17"/>
  <c r="D7" i="17" s="1"/>
  <c r="E6" i="17"/>
  <c r="E7" i="17" s="1"/>
  <c r="F6" i="17"/>
  <c r="F7" i="17" s="1"/>
  <c r="G6" i="17"/>
  <c r="G7" i="17" s="1"/>
  <c r="H6" i="17"/>
  <c r="H7" i="17" s="1"/>
  <c r="I6" i="17"/>
  <c r="J6" i="17"/>
  <c r="K6" i="17"/>
  <c r="K7" i="17" s="1"/>
  <c r="L6" i="17"/>
  <c r="M6" i="17"/>
  <c r="M7" i="17" s="1"/>
  <c r="N6" i="17"/>
  <c r="I7" i="17"/>
  <c r="J7" i="17"/>
  <c r="L7" i="17"/>
  <c r="N7" i="17"/>
  <c r="C7" i="17"/>
  <c r="C6" i="17"/>
  <c r="C4" i="17"/>
  <c r="C3" i="17" a="1"/>
  <c r="C3" i="17" s="1"/>
  <c r="C10" i="10" l="1"/>
  <c r="C5" i="17" l="1"/>
  <c r="N9" i="17"/>
  <c r="N17" i="17" s="1"/>
  <c r="M9" i="17"/>
  <c r="M17" i="17" s="1"/>
  <c r="L9" i="17"/>
  <c r="L17" i="17" s="1"/>
  <c r="K9" i="17"/>
  <c r="K17" i="17" s="1"/>
  <c r="J9" i="17"/>
  <c r="J17" i="17" s="1"/>
  <c r="I9" i="17"/>
  <c r="I17" i="17" s="1"/>
  <c r="H9" i="17"/>
  <c r="H17" i="17" s="1"/>
  <c r="G9" i="17"/>
  <c r="G17" i="17" s="1"/>
  <c r="F9" i="17"/>
  <c r="F17" i="17" s="1"/>
  <c r="E9" i="17"/>
  <c r="E17" i="17" s="1"/>
  <c r="D9" i="17"/>
  <c r="D17" i="17" s="1"/>
  <c r="C9" i="17"/>
  <c r="C17" i="17" s="1"/>
  <c r="K12" i="17" l="1"/>
  <c r="C12" i="17"/>
  <c r="N12" i="17"/>
  <c r="F12" i="17"/>
  <c r="J12" i="17"/>
  <c r="G12" i="17"/>
  <c r="O6" i="17"/>
  <c r="O9" i="17"/>
  <c r="O5" i="17"/>
  <c r="D12" i="17" l="1"/>
  <c r="D13" i="17" s="1"/>
  <c r="I12" i="17"/>
  <c r="E12" i="17"/>
  <c r="E13" i="17" s="1"/>
  <c r="H12" i="17"/>
  <c r="H13" i="17" s="1"/>
  <c r="M12" i="17"/>
  <c r="M13" i="17" s="1"/>
  <c r="L12" i="17"/>
  <c r="L13" i="17" s="1"/>
  <c r="K13" i="17"/>
  <c r="G13" i="17"/>
  <c r="O7" i="17"/>
  <c r="N13" i="17"/>
  <c r="F13" i="17"/>
  <c r="J13" i="17"/>
  <c r="O12" i="17" l="1"/>
  <c r="C13" i="17"/>
  <c r="I13" i="17"/>
  <c r="Q65" i="2"/>
  <c r="Q70" i="2"/>
  <c r="F29" i="2"/>
  <c r="F30" i="2"/>
  <c r="Q71" i="2"/>
  <c r="F17" i="2"/>
  <c r="Q69" i="2"/>
  <c r="Q67" i="2"/>
  <c r="Q64" i="2"/>
  <c r="M106" i="11" l="1"/>
  <c r="K104" i="11" l="1"/>
  <c r="K107" i="11"/>
  <c r="K108" i="11"/>
  <c r="L60" i="11" l="1"/>
  <c r="L59" i="11"/>
  <c r="L56" i="11"/>
  <c r="L55" i="11"/>
  <c r="L54" i="11"/>
  <c r="L53" i="11"/>
  <c r="L52" i="11"/>
  <c r="L51" i="11"/>
  <c r="L50" i="11"/>
  <c r="L49" i="11"/>
  <c r="L46" i="11"/>
  <c r="L45" i="11"/>
  <c r="L44" i="11"/>
  <c r="L43" i="11"/>
  <c r="L42" i="11"/>
  <c r="L41" i="11"/>
  <c r="L40" i="11"/>
  <c r="L39" i="11"/>
  <c r="L38" i="11"/>
  <c r="L37" i="11"/>
  <c r="M104" i="11" l="1"/>
  <c r="Q66" i="2" l="1"/>
  <c r="D8" i="2" l="1"/>
  <c r="D14" i="2" l="1"/>
  <c r="D13" i="2"/>
  <c r="D12" i="2"/>
  <c r="D11" i="2"/>
  <c r="D10" i="2"/>
  <c r="Q63" i="2"/>
  <c r="B39" i="2" s="1"/>
  <c r="D20" i="2" a="1"/>
  <c r="D20" i="2" s="1"/>
  <c r="D9" i="2"/>
  <c r="M43" i="11" l="1"/>
  <c r="M40" i="11" a="1"/>
  <c r="M40" i="11" s="1"/>
  <c r="M41" i="11"/>
  <c r="M44" i="11"/>
  <c r="M42" i="11"/>
  <c r="M39" i="11" a="1"/>
  <c r="M39" i="11" s="1"/>
  <c r="L91" i="11" a="1"/>
  <c r="L91" i="11" s="1"/>
  <c r="K90" i="11" l="1" a="1"/>
  <c r="K90" i="11" s="1"/>
  <c r="L94" i="11" a="1"/>
  <c r="L94" i="11" s="1"/>
  <c r="C21" i="17"/>
  <c r="K94" i="11" a="1"/>
  <c r="K94" i="11" s="1"/>
  <c r="K92" i="11" a="1"/>
  <c r="K92" i="11" s="1"/>
  <c r="L90" i="11" a="1"/>
  <c r="L90" i="11" s="1"/>
  <c r="K89" i="11" a="1"/>
  <c r="K89" i="11" s="1"/>
  <c r="L93" i="11" a="1"/>
  <c r="L93" i="11" s="1"/>
  <c r="L92" i="11" a="1"/>
  <c r="L92" i="11" s="1"/>
  <c r="K91" i="11" a="1"/>
  <c r="K91" i="11" s="1"/>
  <c r="K93" i="11" a="1"/>
  <c r="K93" i="11" s="1"/>
  <c r="L89" i="11" a="1"/>
  <c r="L89" i="11" s="1"/>
  <c r="F22" i="17" l="1"/>
  <c r="F23" i="17" s="1"/>
  <c r="H22" i="17"/>
  <c r="H23" i="17" s="1"/>
  <c r="K22" i="17"/>
  <c r="K23" i="17" s="1"/>
  <c r="G22" i="17"/>
  <c r="G23" i="17" s="1"/>
  <c r="L22" i="17"/>
  <c r="L23" i="17" s="1"/>
  <c r="C22" i="17"/>
  <c r="C23" i="17" s="1"/>
  <c r="E22" i="17"/>
  <c r="E23" i="17" s="1"/>
  <c r="I22" i="17"/>
  <c r="I23" i="17" s="1"/>
  <c r="D22" i="17"/>
  <c r="D23" i="17" s="1"/>
  <c r="J22" i="17"/>
  <c r="J23" i="17" s="1"/>
  <c r="M22" i="17"/>
  <c r="M23" i="17" s="1"/>
  <c r="N22" i="17"/>
  <c r="N23" i="17" s="1"/>
  <c r="U16" i="17"/>
  <c r="U18" i="17" s="1"/>
  <c r="U19" i="17" s="1"/>
  <c r="N16" i="17"/>
  <c r="N18" i="17" s="1"/>
  <c r="N19" i="17" s="1"/>
  <c r="N20" i="17" s="1"/>
  <c r="AG47" i="17" s="1"/>
  <c r="AB16" i="17"/>
  <c r="AB18" i="17" s="1"/>
  <c r="AB19" i="17" s="1"/>
  <c r="AB20" i="17" s="1"/>
  <c r="AG46" i="17" s="1"/>
  <c r="AA16" i="17"/>
  <c r="AA18" i="17" s="1"/>
  <c r="AA19" i="17" s="1"/>
  <c r="AA20" i="17" s="1"/>
  <c r="AF46" i="17" s="1"/>
  <c r="T16" i="17"/>
  <c r="T18" i="17" s="1"/>
  <c r="T19" i="17" s="1"/>
  <c r="T20" i="17" s="1"/>
  <c r="Y46" i="17" s="1"/>
  <c r="V16" i="17"/>
  <c r="V18" i="17" s="1"/>
  <c r="V19" i="17" s="1"/>
  <c r="V20" i="17" s="1"/>
  <c r="AA46" i="17" s="1"/>
  <c r="Q16" i="17"/>
  <c r="Q18" i="17" s="1"/>
  <c r="Q19" i="17" s="1"/>
  <c r="J16" i="17"/>
  <c r="J18" i="17" s="1"/>
  <c r="J19" i="17" s="1"/>
  <c r="J20" i="17" s="1"/>
  <c r="AC47" i="17" s="1"/>
  <c r="F16" i="17"/>
  <c r="F18" i="17" s="1"/>
  <c r="F19" i="17" s="1"/>
  <c r="F20" i="17" s="1"/>
  <c r="Y47" i="17" s="1"/>
  <c r="K16" i="17"/>
  <c r="K18" i="17" s="1"/>
  <c r="K19" i="17" s="1"/>
  <c r="K20" i="17" s="1"/>
  <c r="AD47" i="17" s="1"/>
  <c r="Y16" i="17"/>
  <c r="Y18" i="17" s="1"/>
  <c r="Y19" i="17" s="1"/>
  <c r="S16" i="17"/>
  <c r="S18" i="17" s="1"/>
  <c r="S19" i="17" s="1"/>
  <c r="D16" i="17"/>
  <c r="D18" i="17" s="1"/>
  <c r="D19" i="17" s="1"/>
  <c r="D20" i="17" s="1"/>
  <c r="W47" i="17" s="1"/>
  <c r="L16" i="17"/>
  <c r="L18" i="17" s="1"/>
  <c r="L19" i="17" s="1"/>
  <c r="L20" i="17" s="1"/>
  <c r="AE47" i="17" s="1"/>
  <c r="R16" i="17"/>
  <c r="R18" i="17" s="1"/>
  <c r="R19" i="17" s="1"/>
  <c r="W16" i="17"/>
  <c r="W18" i="17" s="1"/>
  <c r="W19" i="17" s="1"/>
  <c r="W20" i="17" s="1"/>
  <c r="AB46" i="17" s="1"/>
  <c r="I16" i="17"/>
  <c r="I18" i="17" s="1"/>
  <c r="I19" i="17" s="1"/>
  <c r="I20" i="17" s="1"/>
  <c r="AB47" i="17" s="1"/>
  <c r="Z16" i="17"/>
  <c r="Z18" i="17" s="1"/>
  <c r="Z19" i="17" s="1"/>
  <c r="Z20" i="17" s="1"/>
  <c r="AE46" i="17" s="1"/>
  <c r="X16" i="17"/>
  <c r="X18" i="17" s="1"/>
  <c r="X19" i="17" s="1"/>
  <c r="X20" i="17" s="1"/>
  <c r="AC46" i="17" s="1"/>
  <c r="G16" i="17"/>
  <c r="G18" i="17" s="1"/>
  <c r="G19" i="17" s="1"/>
  <c r="G20" i="17" s="1"/>
  <c r="Z47" i="17" s="1"/>
  <c r="E16" i="17"/>
  <c r="E18" i="17" s="1"/>
  <c r="E19" i="17" s="1"/>
  <c r="E20" i="17" s="1"/>
  <c r="X47" i="17" s="1"/>
  <c r="H16" i="17"/>
  <c r="H18" i="17" s="1"/>
  <c r="H19" i="17" s="1"/>
  <c r="H20" i="17" s="1"/>
  <c r="AA47" i="17" s="1"/>
  <c r="M16" i="17"/>
  <c r="M18" i="17" s="1"/>
  <c r="M19" i="17" s="1"/>
  <c r="M20" i="17" s="1"/>
  <c r="AF47" i="17" s="1"/>
  <c r="C16" i="17"/>
  <c r="C18" i="17" s="1"/>
  <c r="C19" i="17" s="1"/>
  <c r="R24" i="17" l="1"/>
  <c r="R25" i="17" s="1"/>
  <c r="R27" i="17" s="1"/>
  <c r="R30" i="17" s="1"/>
  <c r="U24" i="17"/>
  <c r="U26" i="17" s="1"/>
  <c r="U29" i="17" s="1"/>
  <c r="V24" i="17"/>
  <c r="V26" i="17" s="1"/>
  <c r="V29" i="17" s="1"/>
  <c r="X24" i="17"/>
  <c r="X26" i="17" s="1"/>
  <c r="X29" i="17" s="1"/>
  <c r="U20" i="17"/>
  <c r="Z46" i="17" s="1"/>
  <c r="Z48" i="17" s="1"/>
  <c r="Z50" i="17" s="1"/>
  <c r="AB24" i="17"/>
  <c r="AB26" i="17" s="1"/>
  <c r="AB29" i="17" s="1"/>
  <c r="T24" i="17"/>
  <c r="T26" i="17" s="1"/>
  <c r="T29" i="17" s="1"/>
  <c r="L24" i="17"/>
  <c r="L26" i="17" s="1"/>
  <c r="L29" i="17" s="1"/>
  <c r="I24" i="17"/>
  <c r="I26" i="17" s="1"/>
  <c r="I29" i="17" s="1"/>
  <c r="K24" i="17"/>
  <c r="K26" i="17" s="1"/>
  <c r="K29" i="17" s="1"/>
  <c r="Y24" i="17"/>
  <c r="Y26" i="17" s="1"/>
  <c r="Y29" i="17" s="1"/>
  <c r="S24" i="17"/>
  <c r="S26" i="17" s="1"/>
  <c r="S29" i="17" s="1"/>
  <c r="K28" i="17"/>
  <c r="J24" i="17"/>
  <c r="J26" i="17" s="1"/>
  <c r="J29" i="17" s="1"/>
  <c r="O19" i="17"/>
  <c r="AC19" i="17"/>
  <c r="AA24" i="17"/>
  <c r="AA26" i="17" s="1"/>
  <c r="AA29" i="17" s="1"/>
  <c r="E24" i="17"/>
  <c r="E26" i="17" s="1"/>
  <c r="E29" i="17" s="1"/>
  <c r="W24" i="17"/>
  <c r="W26" i="17" s="1"/>
  <c r="W29" i="17" s="1"/>
  <c r="Y20" i="17"/>
  <c r="AD46" i="17" s="1"/>
  <c r="AD48" i="17" s="1"/>
  <c r="AD50" i="17" s="1"/>
  <c r="N24" i="17"/>
  <c r="N26" i="17" s="1"/>
  <c r="N29" i="17" s="1"/>
  <c r="G28" i="17"/>
  <c r="G24" i="17"/>
  <c r="G26" i="17" s="1"/>
  <c r="G29" i="17" s="1"/>
  <c r="C24" i="17"/>
  <c r="C25" i="17" s="1"/>
  <c r="C27" i="17" s="1"/>
  <c r="C30" i="17" s="1"/>
  <c r="C20" i="17"/>
  <c r="V47" i="17" s="1"/>
  <c r="AH47" i="17" s="1"/>
  <c r="R20" i="17"/>
  <c r="W46" i="17" s="1"/>
  <c r="W48" i="17" s="1"/>
  <c r="W50" i="17" s="1"/>
  <c r="N28" i="17"/>
  <c r="J28" i="17"/>
  <c r="I28" i="17"/>
  <c r="D28" i="17"/>
  <c r="F28" i="17"/>
  <c r="H24" i="17"/>
  <c r="H26" i="17" s="1"/>
  <c r="H29" i="17" s="1"/>
  <c r="L28" i="17"/>
  <c r="Z24" i="17"/>
  <c r="Z26" i="17" s="1"/>
  <c r="Z29" i="17" s="1"/>
  <c r="D24" i="17"/>
  <c r="D26" i="17" s="1"/>
  <c r="D29" i="17" s="1"/>
  <c r="M24" i="17"/>
  <c r="M26" i="17" s="1"/>
  <c r="M29" i="17" s="1"/>
  <c r="E28" i="17"/>
  <c r="M28" i="17"/>
  <c r="S20" i="17"/>
  <c r="X46" i="17" s="1"/>
  <c r="X48" i="17" s="1"/>
  <c r="X50" i="17" s="1"/>
  <c r="F24" i="17"/>
  <c r="F26" i="17" s="1"/>
  <c r="F29" i="17" s="1"/>
  <c r="H28" i="17"/>
  <c r="AA48" i="17"/>
  <c r="AA50" i="17" s="1"/>
  <c r="AF48" i="17"/>
  <c r="AF50" i="17" s="1"/>
  <c r="AG48" i="17"/>
  <c r="AG50" i="17" s="1"/>
  <c r="Y48" i="17"/>
  <c r="Y50" i="17" s="1"/>
  <c r="AE48" i="17"/>
  <c r="AE50" i="17" s="1"/>
  <c r="AC48" i="17"/>
  <c r="AC50" i="17" s="1"/>
  <c r="AB48" i="17"/>
  <c r="AB50" i="17" s="1"/>
  <c r="Q24" i="17"/>
  <c r="Q26" i="17" s="1"/>
  <c r="Q29" i="17" s="1"/>
  <c r="Q20" i="17"/>
  <c r="C28" i="17"/>
  <c r="R26" i="17" l="1"/>
  <c r="R29" i="17" s="1"/>
  <c r="U25" i="17"/>
  <c r="U27" i="17" s="1"/>
  <c r="U30" i="17" s="1"/>
  <c r="AB25" i="17"/>
  <c r="AB27" i="17" s="1"/>
  <c r="AB30" i="17" s="1"/>
  <c r="V25" i="17"/>
  <c r="V27" i="17" s="1"/>
  <c r="V30" i="17" s="1"/>
  <c r="N25" i="17"/>
  <c r="N27" i="17" s="1"/>
  <c r="N30" i="17" s="1"/>
  <c r="X25" i="17"/>
  <c r="X27" i="17" s="1"/>
  <c r="X30" i="17" s="1"/>
  <c r="K25" i="17"/>
  <c r="K27" i="17" s="1"/>
  <c r="K30" i="17" s="1"/>
  <c r="T25" i="17"/>
  <c r="T27" i="17" s="1"/>
  <c r="T30" i="17" s="1"/>
  <c r="L25" i="17"/>
  <c r="L27" i="17" s="1"/>
  <c r="L30" i="17" s="1"/>
  <c r="I25" i="17"/>
  <c r="I27" i="17" s="1"/>
  <c r="I30" i="17" s="1"/>
  <c r="S25" i="17"/>
  <c r="S27" i="17" s="1"/>
  <c r="S30" i="17" s="1"/>
  <c r="J25" i="17"/>
  <c r="J27" i="17" s="1"/>
  <c r="J30" i="17" s="1"/>
  <c r="Y25" i="17"/>
  <c r="Y27" i="17" s="1"/>
  <c r="Y30" i="17" s="1"/>
  <c r="W25" i="17"/>
  <c r="W27" i="17" s="1"/>
  <c r="W30" i="17" s="1"/>
  <c r="AA25" i="17"/>
  <c r="AA27" i="17" s="1"/>
  <c r="AA30" i="17" s="1"/>
  <c r="E25" i="17"/>
  <c r="E27" i="17" s="1"/>
  <c r="E30" i="17" s="1"/>
  <c r="G25" i="17"/>
  <c r="G27" i="17" s="1"/>
  <c r="G30" i="17" s="1"/>
  <c r="C26" i="17"/>
  <c r="C29" i="17" s="1"/>
  <c r="O29" i="17" s="1"/>
  <c r="O20" i="17"/>
  <c r="M25" i="17"/>
  <c r="M27" i="17" s="1"/>
  <c r="M30" i="17" s="1"/>
  <c r="H25" i="17"/>
  <c r="H27" i="17" s="1"/>
  <c r="H30" i="17" s="1"/>
  <c r="D25" i="17"/>
  <c r="D27" i="17" s="1"/>
  <c r="D30" i="17" s="1"/>
  <c r="Z25" i="17"/>
  <c r="Z27" i="17" s="1"/>
  <c r="Z30" i="17" s="1"/>
  <c r="F25" i="17"/>
  <c r="F27" i="17" s="1"/>
  <c r="F30" i="17" s="1"/>
  <c r="AC29" i="17"/>
  <c r="AC20" i="17"/>
  <c r="V46" i="17"/>
  <c r="Q25" i="17"/>
  <c r="Q27" i="17" s="1"/>
  <c r="Q30" i="17" s="1"/>
  <c r="O30" i="17" l="1"/>
  <c r="AC30" i="17"/>
  <c r="Q36" i="17"/>
  <c r="Q40" i="17" s="1"/>
  <c r="AH46" i="17"/>
  <c r="AH48" i="17" s="1"/>
  <c r="V48" i="17"/>
  <c r="V50" i="17" s="1"/>
  <c r="AH50" i="17" s="1"/>
  <c r="Q37" i="17" l="1"/>
  <c r="C9" i="10" s="1"/>
  <c r="Y36" i="17"/>
  <c r="AH51" i="17" s="1"/>
  <c r="Z36" i="17"/>
  <c r="AA36" i="17"/>
  <c r="AA42" i="17"/>
  <c r="Y40" i="17"/>
  <c r="C11" i="10"/>
  <c r="Z42" i="17"/>
  <c r="Z37" i="17" l="1"/>
  <c r="Z38" i="17" s="1"/>
  <c r="AA37" i="17"/>
  <c r="AA38" i="17" s="1"/>
  <c r="Y37" i="17"/>
  <c r="Y38" i="17" s="1"/>
  <c r="Q41" i="17"/>
  <c r="Y41" i="17" s="1"/>
  <c r="Y42" i="17" s="1"/>
  <c r="C19" i="10" l="1"/>
  <c r="Q68" i="2" l="1"/>
  <c r="M105"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<sst xmlns="http://schemas.openxmlformats.org/spreadsheetml/2006/main" count="710" uniqueCount="355">
  <si>
    <t>Select the index number from the table below</t>
  </si>
  <si>
    <t>Table of Recognised Smart Hot Water Tanks</t>
  </si>
  <si>
    <t>Index no.</t>
  </si>
  <si>
    <t>Brand Name</t>
  </si>
  <si>
    <t>Manufacturer</t>
  </si>
  <si>
    <t>Model Name</t>
  </si>
  <si>
    <t>Model Qualifier</t>
  </si>
  <si>
    <t>First year of manufacture</t>
  </si>
  <si>
    <t>Tank Size (L)</t>
  </si>
  <si>
    <t>Tank Lossess (kWh/day)</t>
  </si>
  <si>
    <t>RdSAP Tank size</t>
  </si>
  <si>
    <t>RdSAP Tank Factory Insulation</t>
  </si>
  <si>
    <t>Unknown</t>
  </si>
  <si>
    <t>Mixergy</t>
  </si>
  <si>
    <t>MX-400-XXX-XXX-XXXXX-XXXXX</t>
  </si>
  <si>
    <t>XC</t>
  </si>
  <si>
    <t>2020 - present</t>
  </si>
  <si>
    <t>2.21 kWh/day</t>
  </si>
  <si>
    <t>Large (210L)</t>
  </si>
  <si>
    <t>Factory Insulated - 25mm</t>
  </si>
  <si>
    <t>MX-500-XXX-XXX-XXXXX-XXXXX</t>
  </si>
  <si>
    <t>2.42 kWh/day</t>
  </si>
  <si>
    <t>Loose jacket - 80mm</t>
  </si>
  <si>
    <t>MX-120-XXX-XXX-XXXXX-XXXXX</t>
  </si>
  <si>
    <t>X</t>
  </si>
  <si>
    <t>2023 - present</t>
  </si>
  <si>
    <t>0.86 kWh/day</t>
  </si>
  <si>
    <t>Normal (110L)</t>
  </si>
  <si>
    <t>Factory Insulated - 80mm</t>
  </si>
  <si>
    <t>MX-150-XXX-XXX-XXXXX-XXXXX</t>
  </si>
  <si>
    <t>0.91 kWh/day</t>
  </si>
  <si>
    <t>Medium (160L)</t>
  </si>
  <si>
    <t>MX-180-XXX-XXX-XXXXX-XXXXX</t>
  </si>
  <si>
    <t>0.96 kWh/day</t>
  </si>
  <si>
    <t>MX-210-XXX-XXX-XXXXX-XXXXX</t>
  </si>
  <si>
    <t>1.01 kWh/day</t>
  </si>
  <si>
    <t>MX-250-XXX-XXX-XXXXX-XXXXX</t>
  </si>
  <si>
    <t>1.34 kWh/day</t>
  </si>
  <si>
    <t>MX-300-XXX-XXX-XXXXX-XXXXX</t>
  </si>
  <si>
    <t>1.68 kWh/day</t>
  </si>
  <si>
    <t>Factory Insulated - 50mm</t>
  </si>
  <si>
    <t>Kingspan</t>
  </si>
  <si>
    <t>Range Tribune MXI</t>
  </si>
  <si>
    <t>MXPV130TNERP</t>
  </si>
  <si>
    <t>1.33 kWh/day</t>
  </si>
  <si>
    <t>Factory Insulated - 38mm</t>
  </si>
  <si>
    <t>MXPV160TNERP</t>
  </si>
  <si>
    <t>1.27 kWh/day</t>
  </si>
  <si>
    <t xml:space="preserve">Factory Insulated - 50mm </t>
  </si>
  <si>
    <t>MXPV190TNERP</t>
  </si>
  <si>
    <t>1.52 kWh/day</t>
  </si>
  <si>
    <t>MXPV220TNERP</t>
  </si>
  <si>
    <t>1.63 kWh/day</t>
  </si>
  <si>
    <t>MXPV260TNERP</t>
  </si>
  <si>
    <t>1.73 kWh/day</t>
  </si>
  <si>
    <t>MXPV310TNERP</t>
  </si>
  <si>
    <t>1.69 kWh/day</t>
  </si>
  <si>
    <t>MXPV130TNUPTERP</t>
  </si>
  <si>
    <t>MXPV160TNUPTERP</t>
  </si>
  <si>
    <t>MXPV190TNUPTERP</t>
  </si>
  <si>
    <t>MXPV220TNUPTERP</t>
  </si>
  <si>
    <t>MXPV260TNUPTERP</t>
  </si>
  <si>
    <t>MXPV310TNUPTERP</t>
  </si>
  <si>
    <t>MX-150-CBW-XXX-XXXXX-XXXXX</t>
  </si>
  <si>
    <t>CubeX</t>
  </si>
  <si>
    <t>2024 - present</t>
  </si>
  <si>
    <t>1.12 kWh/day</t>
  </si>
  <si>
    <t>MX-210-CBW-XXX-XXXXX-XXXXX</t>
  </si>
  <si>
    <t>1.24 kWh/day</t>
  </si>
  <si>
    <t>Obsolete</t>
  </si>
  <si>
    <t>2020 - 2023</t>
  </si>
  <si>
    <t>0.94 kWh/day</t>
  </si>
  <si>
    <t>1.002 kWh/day</t>
  </si>
  <si>
    <t>1.107 kWh/day</t>
  </si>
  <si>
    <t>1.42 kWh/day</t>
  </si>
  <si>
    <t>1.524 kWh/day</t>
  </si>
  <si>
    <t>MX-170-XXX-XXX-XXXXX-XXXXX</t>
  </si>
  <si>
    <t>2023-2023</t>
  </si>
  <si>
    <t>1.660 kWh/day</t>
  </si>
  <si>
    <t>MX-200-XXX-XXX-XXXXX-XXXXX</t>
  </si>
  <si>
    <t>1.750 kWh/day</t>
  </si>
  <si>
    <t>2023 - 2024</t>
  </si>
  <si>
    <t>1.06 kWh/day</t>
  </si>
  <si>
    <t>1.22 kWh/day</t>
  </si>
  <si>
    <t>1.44 kWh/day</t>
  </si>
  <si>
    <t>2.04 kWh/day</t>
  </si>
  <si>
    <t>Loose jacket - 120mm</t>
  </si>
  <si>
    <t>SAP Appendix Q  - Calculation process for Smart Hot Water Tank with PV diverter</t>
  </si>
  <si>
    <t>SAP Assessment Information</t>
  </si>
  <si>
    <t>Hints/ Warnings</t>
  </si>
  <si>
    <t>SAP Assessment Reference</t>
  </si>
  <si>
    <t>Full SAP or Reduced SAP (RdSAP) Assessment</t>
  </si>
  <si>
    <t>Step 1: Select Smart hot water tank in the "Select system" sheet and check if details below are correct.</t>
  </si>
  <si>
    <t>System Index Number (taken from "Select System")</t>
  </si>
  <si>
    <t>System manufacturer</t>
  </si>
  <si>
    <t>System brand name</t>
  </si>
  <si>
    <t>System model name</t>
  </si>
  <si>
    <t xml:space="preserve">System model qualifier </t>
  </si>
  <si>
    <t xml:space="preserve">Step 2: Examine installation checklist </t>
  </si>
  <si>
    <t xml:space="preserve">Has the installation and commissioning checklists been completed and signed?
See "Checklist" tab to see an example  of the checklists. </t>
  </si>
  <si>
    <t>Step 3: Ensure tank losses below used in SAP software</t>
  </si>
  <si>
    <t>Tank Losses</t>
  </si>
  <si>
    <t>Step 4: Input data from SAP worksheet and installation guidance document</t>
  </si>
  <si>
    <t xml:space="preserve"> Worksheet Box number</t>
  </si>
  <si>
    <t>Is a PV diverter present?</t>
  </si>
  <si>
    <t>Dropdown</t>
  </si>
  <si>
    <t>Total Floor area</t>
  </si>
  <si>
    <t>Box 4</t>
  </si>
  <si>
    <r>
      <t>m</t>
    </r>
    <r>
      <rPr>
        <vertAlign val="superscript"/>
        <sz val="11"/>
        <color rgb="FF000000"/>
        <rFont val="Calibri"/>
        <family val="2"/>
      </rPr>
      <t>2</t>
    </r>
  </si>
  <si>
    <t>Electricity Tariff</t>
  </si>
  <si>
    <t>tariff</t>
  </si>
  <si>
    <t>Total heat required for water heating</t>
  </si>
  <si>
    <t>Box 62</t>
  </si>
  <si>
    <t>kWh</t>
  </si>
  <si>
    <t>If WWHRS (Box 63) exists take off annual total for Box 62</t>
  </si>
  <si>
    <t>Space heating system (main heating system 1)</t>
  </si>
  <si>
    <t>Water heating system</t>
  </si>
  <si>
    <t>Water heating system fuel if system not electric</t>
  </si>
  <si>
    <t xml:space="preserve">Water heating system efficiency </t>
  </si>
  <si>
    <t>Box 216</t>
  </si>
  <si>
    <t>%</t>
  </si>
  <si>
    <t>PV exported</t>
  </si>
  <si>
    <t>Box 233b</t>
  </si>
  <si>
    <t>PV used on site</t>
  </si>
  <si>
    <t>Box 233a</t>
  </si>
  <si>
    <t xml:space="preserve">SAP Standard PV diverter savings </t>
  </si>
  <si>
    <t>Box 63b</t>
  </si>
  <si>
    <t xml:space="preserve">IMPORTANT NOTES
(1) If the brand or model are changed the energy saving must be re-calculated
(2) Results will only appear if relevant yellow boxes are filled in correctly; any error messages will appear below.
</t>
  </si>
  <si>
    <r>
      <t xml:space="preserve">ERROR CHECKING BELOW </t>
    </r>
    <r>
      <rPr>
        <b/>
        <i/>
        <sz val="11"/>
        <color rgb="FFC00000"/>
        <rFont val="Calibri"/>
        <family val="2"/>
        <scheme val="minor"/>
      </rPr>
      <t>(blank if no existing error)</t>
    </r>
  </si>
  <si>
    <t>Error checking</t>
  </si>
  <si>
    <t>Highest on top</t>
  </si>
  <si>
    <t>Error: Index number of tank not selected. Please go to "Select System" tab and select appropriate system.</t>
  </si>
  <si>
    <t>Error: Installation and commissioning checklists must been completed and signed</t>
  </si>
  <si>
    <t xml:space="preserve">Error: At least one entry is blank. Please ensure all yellow fields are filled in. </t>
  </si>
  <si>
    <t>Error: PV Diverter must be present for further savings.</t>
  </si>
  <si>
    <t>Error: Enter annual total for main system 1</t>
  </si>
  <si>
    <t>Error: Enter annual total for main system 2</t>
  </si>
  <si>
    <t>Error: Enter annual total for electric secondary heating system</t>
  </si>
  <si>
    <t>Error: Select water heating fuel, must not be NA</t>
  </si>
  <si>
    <t>Error: Heat pump efficiency must be greater than 100%</t>
  </si>
  <si>
    <t>Instructions to SAP 10 assessors</t>
  </si>
  <si>
    <t>Enter 2 Appendix Q special features, as follows:</t>
  </si>
  <si>
    <t>Special feature 1</t>
  </si>
  <si>
    <t>Field</t>
  </si>
  <si>
    <t>Input</t>
  </si>
  <si>
    <t>Description</t>
  </si>
  <si>
    <t>PV diverter pt1</t>
  </si>
  <si>
    <t>Energy or emissions saving?</t>
  </si>
  <si>
    <t>Energy</t>
  </si>
  <si>
    <t>Energy saved or generated</t>
  </si>
  <si>
    <t>kWh/yr</t>
  </si>
  <si>
    <t xml:space="preserve">Fuel type saved or generated </t>
  </si>
  <si>
    <t>Additional energy used</t>
  </si>
  <si>
    <t>Fuel type used</t>
  </si>
  <si>
    <t>Electricty</t>
  </si>
  <si>
    <t>Special feature 2</t>
  </si>
  <si>
    <t>PV diverter pt2</t>
  </si>
  <si>
    <t>Emissions</t>
  </si>
  <si>
    <t>Emissions saved</t>
  </si>
  <si>
    <t>[blank]</t>
  </si>
  <si>
    <t>kgCO2/yr</t>
  </si>
  <si>
    <t>Emissions created</t>
  </si>
  <si>
    <t xml:space="preserve">The interface in the specific software you use will look different to the images to the right, but should have the same input options. </t>
  </si>
  <si>
    <t>Tank Size</t>
  </si>
  <si>
    <t>Assumed Occupants</t>
  </si>
  <si>
    <t>pv diverter savings (63b)</t>
  </si>
  <si>
    <t>pv gen - used on site (233a)</t>
  </si>
  <si>
    <t>pv export (233b)</t>
  </si>
  <si>
    <t>pv generation total</t>
  </si>
  <si>
    <t>heat req (62)</t>
  </si>
  <si>
    <t>Available to diverter</t>
  </si>
  <si>
    <t>Available to diverter/ Hot water demand</t>
  </si>
  <si>
    <t>Sum</t>
  </si>
  <si>
    <t>Standard</t>
  </si>
  <si>
    <t>Diverted ratio</t>
  </si>
  <si>
    <t>Hot water requirement (-WWHR)</t>
  </si>
  <si>
    <t>Diverted savings</t>
  </si>
  <si>
    <t>Diverted energy</t>
  </si>
  <si>
    <t>PV electricity exported</t>
  </si>
  <si>
    <t>Water heating on peak fraction</t>
  </si>
  <si>
    <t>Water heating requirement (on-peak)</t>
  </si>
  <si>
    <t>Water heating requirement (off-peak)</t>
  </si>
  <si>
    <t>Diverter saving (on-peak)</t>
  </si>
  <si>
    <t>Diverter saving (off-peak)</t>
  </si>
  <si>
    <t>Water heater output (on-peak)</t>
  </si>
  <si>
    <t>Water heater output (off-peak)</t>
  </si>
  <si>
    <t>Increase diverted energy</t>
  </si>
  <si>
    <t>Water heating delivered energy (on-peak)</t>
  </si>
  <si>
    <t>Water heating delivered energy (off-peak)</t>
  </si>
  <si>
    <t>carbon</t>
  </si>
  <si>
    <t>pe</t>
  </si>
  <si>
    <t>cost</t>
  </si>
  <si>
    <t>used</t>
  </si>
  <si>
    <t>electricity</t>
  </si>
  <si>
    <t>kwh/year</t>
  </si>
  <si>
    <t>saved</t>
  </si>
  <si>
    <t>Water heating requirement</t>
  </si>
  <si>
    <t>mains gas</t>
  </si>
  <si>
    <t>overall</t>
  </si>
  <si>
    <t>new electricity</t>
  </si>
  <si>
    <t>co2used</t>
  </si>
  <si>
    <t>kg.year</t>
  </si>
  <si>
    <t>Notes</t>
  </si>
  <si>
    <t>Enter a third of electricity used. enter 2/3 of carbon electricity used as an additional special feature. This is to use the smaller PE factor of electricity sold to grid.</t>
  </si>
  <si>
    <t>standard</t>
  </si>
  <si>
    <t>mixergy</t>
  </si>
  <si>
    <t>electricity sold to grid,
PV - carbon</t>
  </si>
  <si>
    <t>Fuel Category</t>
  </si>
  <si>
    <t>Fuel</t>
  </si>
  <si>
    <t>Standing charge, £</t>
  </si>
  <si>
    <t>Unit price p/kWh</t>
  </si>
  <si>
    <r>
      <t>Emissions kg CO</t>
    </r>
    <r>
      <rPr>
        <b/>
        <vertAlign val="subscript"/>
        <sz val="10"/>
        <color rgb="FF000000"/>
        <rFont val="Times New Roman"/>
        <family val="1"/>
      </rPr>
      <t>2e</t>
    </r>
  </si>
  <si>
    <r>
      <t>Primary energy factor</t>
    </r>
    <r>
      <rPr>
        <sz val="8"/>
        <color rgb="FF000000"/>
        <rFont val="Times New Roman"/>
        <family val="1"/>
      </rPr>
      <t>  </t>
    </r>
  </si>
  <si>
    <t>Fuel Code</t>
  </si>
  <si>
    <t>Space heating systems</t>
  </si>
  <si>
    <t>Water heating systems</t>
  </si>
  <si>
    <t>Gas</t>
  </si>
  <si>
    <t>NA</t>
  </si>
  <si>
    <t>Gas system</t>
  </si>
  <si>
    <t>bulk LPG</t>
  </si>
  <si>
    <t>Non-electric system</t>
  </si>
  <si>
    <t>Oil system</t>
  </si>
  <si>
    <t>bottled LPG (for main heating system)</t>
  </si>
  <si>
    <t>Direct-acting electric boiler</t>
  </si>
  <si>
    <t>Solid system</t>
  </si>
  <si>
    <t>bottled LPG (for secondary heating)</t>
  </si>
  <si>
    <t>Electric underfloor heating</t>
  </si>
  <si>
    <t>Single Electric immersion</t>
  </si>
  <si>
    <t>LPG subject to Special Condition 11F</t>
  </si>
  <si>
    <t>Electric ground/water source heat pump</t>
  </si>
  <si>
    <t>Dual Electric immersion</t>
  </si>
  <si>
    <r>
      <t>biogas (including anaerobic digestion)</t>
    </r>
    <r>
      <rPr>
        <sz val="8"/>
        <color theme="1"/>
        <rFont val="Times New Roman"/>
        <family val="1"/>
      </rPr>
      <t>  </t>
    </r>
  </si>
  <si>
    <t>Electric air source heat pump</t>
  </si>
  <si>
    <t>Electric heat pump serving DHW only</t>
  </si>
  <si>
    <t>heating oil</t>
  </si>
  <si>
    <t xml:space="preserve">Electric heat pump with off peak immersion from PCDB </t>
  </si>
  <si>
    <r>
      <t>Liquid fuels</t>
    </r>
    <r>
      <rPr>
        <sz val="8"/>
        <color theme="1"/>
        <rFont val="Times New Roman"/>
        <family val="1"/>
      </rPr>
      <t>  </t>
    </r>
  </si>
  <si>
    <t>bio-liquid HVO from used cooking oil</t>
  </si>
  <si>
    <t>1.437 </t>
  </si>
  <si>
    <t xml:space="preserve">Electric heat pump with off peak immersion not from PCDB </t>
  </si>
  <si>
    <t>bio-liquid FAME from animal/vegetable oils</t>
  </si>
  <si>
    <t>B30K</t>
  </si>
  <si>
    <t>1.136   </t>
  </si>
  <si>
    <t>bioethanol from any biomass source</t>
  </si>
  <si>
    <t>Solid fuels</t>
  </si>
  <si>
    <t>house coal</t>
  </si>
  <si>
    <t>anthracite</t>
  </si>
  <si>
    <t>manufactured smokeless fuel</t>
  </si>
  <si>
    <t>wood logs</t>
  </si>
  <si>
    <t>wood pellets (in bags for secondary heating)</t>
  </si>
  <si>
    <t>wood pellets (bulk supply for main heating)</t>
  </si>
  <si>
    <t>wood chips</t>
  </si>
  <si>
    <t>dual fuel appliance (mineral and wood)</t>
  </si>
  <si>
    <t>high rate-&gt;</t>
  </si>
  <si>
    <t>Electricity</t>
  </si>
  <si>
    <t>7 (high rate)</t>
  </si>
  <si>
    <t>7 (low rate)</t>
  </si>
  <si>
    <t>10 (high rate)</t>
  </si>
  <si>
    <t>10 (low rate)</t>
  </si>
  <si>
    <t>18 (high rate)</t>
  </si>
  <si>
    <t>18 (low rate)</t>
  </si>
  <si>
    <t>low rate-&gt;</t>
  </si>
  <si>
    <t>electricity sold to grid, PV</t>
  </si>
  <si>
    <t>Water heating System</t>
  </si>
  <si>
    <t>Tariff</t>
  </si>
  <si>
    <t>System+tariff</t>
  </si>
  <si>
    <t>High rate fraction</t>
  </si>
  <si>
    <t>Single Electric Immersion</t>
  </si>
  <si>
    <t>Electric Heat pump serving DHW only</t>
  </si>
  <si>
    <t>Space heating System</t>
  </si>
  <si>
    <t>Electric Underfloor heating</t>
  </si>
  <si>
    <t>Electric Ground/water source heat pump</t>
  </si>
  <si>
    <t>Electric Air source heat pump</t>
  </si>
  <si>
    <t>Secondary</t>
  </si>
  <si>
    <t xml:space="preserve">Electric </t>
  </si>
  <si>
    <t>Electric</t>
  </si>
  <si>
    <t>/</t>
  </si>
  <si>
    <t>/2</t>
  </si>
  <si>
    <t>/3</t>
  </si>
  <si>
    <t>/4</t>
  </si>
  <si>
    <t>/5</t>
  </si>
  <si>
    <t>N</t>
  </si>
  <si>
    <t>xo</t>
  </si>
  <si>
    <t>k</t>
  </si>
  <si>
    <t>A</t>
  </si>
  <si>
    <t>b</t>
  </si>
  <si>
    <t>S</t>
  </si>
  <si>
    <t>Main space 1</t>
  </si>
  <si>
    <t xml:space="preserve">Main space 1 </t>
  </si>
  <si>
    <t>Main space 2</t>
  </si>
  <si>
    <t>Water heating non electric fuel type</t>
  </si>
  <si>
    <t>Water heating system+ tariff</t>
  </si>
  <si>
    <t>fPV_diverter_storageloss</t>
  </si>
  <si>
    <t>fPV_diverter_storageloss_mixergy</t>
  </si>
  <si>
    <t>Jan</t>
  </si>
  <si>
    <t>Feb</t>
  </si>
  <si>
    <t>Mar</t>
  </si>
  <si>
    <t>Apr</t>
  </si>
  <si>
    <t>May</t>
  </si>
  <si>
    <t>Jun</t>
  </si>
  <si>
    <t>Jul</t>
  </si>
  <si>
    <t>Aug</t>
  </si>
  <si>
    <t>Sep</t>
  </si>
  <si>
    <t>Oct</t>
  </si>
  <si>
    <t>Nov</t>
  </si>
  <si>
    <t>Dec</t>
  </si>
  <si>
    <t>electricity sold to grid, PV - carbon factors</t>
  </si>
  <si>
    <t>electricity sold to grid, PV - PE factors</t>
  </si>
  <si>
    <r>
      <t>Overshading description</t>
    </r>
    <r>
      <rPr>
        <sz val="8"/>
        <color theme="1"/>
        <rFont val="Times New Roman"/>
        <family val="1"/>
      </rPr>
      <t> </t>
    </r>
  </si>
  <si>
    <t>% of southern[1] sky blocked by obstructions</t>
  </si>
  <si>
    <r>
      <t>Z</t>
    </r>
    <r>
      <rPr>
        <b/>
        <vertAlign val="subscript"/>
        <sz val="10"/>
        <color theme="1"/>
        <rFont val="Times New Roman"/>
        <family val="1"/>
      </rPr>
      <t>PV</t>
    </r>
  </si>
  <si>
    <t>Column1</t>
  </si>
  <si>
    <t>Column2</t>
  </si>
  <si>
    <t>Column3</t>
  </si>
  <si>
    <t>None or very little</t>
  </si>
  <si>
    <t>&lt; 10%</t>
  </si>
  <si>
    <t>Yes</t>
  </si>
  <si>
    <t>Heavy</t>
  </si>
  <si>
    <t>&gt; 60% - 80%</t>
  </si>
  <si>
    <t>No</t>
  </si>
  <si>
    <t>Severe</t>
  </si>
  <si>
    <t>&gt; 80%</t>
  </si>
  <si>
    <t>Modest</t>
  </si>
  <si>
    <t>10% - 25%</t>
  </si>
  <si>
    <t>Significant</t>
  </si>
  <si>
    <t>25% - 60%</t>
  </si>
  <si>
    <t>SAP types</t>
  </si>
  <si>
    <t>Full SAP</t>
  </si>
  <si>
    <t>Oil</t>
  </si>
  <si>
    <t>Reduced SAP</t>
  </si>
  <si>
    <t>Solid</t>
  </si>
  <si>
    <t>Orientation</t>
  </si>
  <si>
    <t>North</t>
  </si>
  <si>
    <t>North East</t>
  </si>
  <si>
    <t>Pitch</t>
  </si>
  <si>
    <t>North West</t>
  </si>
  <si>
    <t>Horizontal</t>
  </si>
  <si>
    <t xml:space="preserve">East </t>
  </si>
  <si>
    <t>West</t>
  </si>
  <si>
    <t>South East</t>
  </si>
  <si>
    <t xml:space="preserve">South West </t>
  </si>
  <si>
    <t>Vertical</t>
  </si>
  <si>
    <t>South</t>
  </si>
  <si>
    <t>Version No.</t>
  </si>
  <si>
    <t>Date</t>
  </si>
  <si>
    <t>First issue for SAP10</t>
  </si>
  <si>
    <t>Additional box numbers added for SAP10 and spreadsheet made monthly to be consistent with SAP 10.2 beta factor calculation. 
3 additional tank entries added (170L, 200L and 250L)</t>
  </si>
  <si>
    <t>3.00</t>
  </si>
  <si>
    <t>•	Replaced annual carbon factors with monthly carbon factors
•	Updated "SAP10 Savings" tab to use SAP10 carbon factors (previously SAP2012 factors were incorrectly used) 
•	Added further calculation step to fully recognise primary energy benefit
•	Updated diverter loss factor for Mixergy tank from 0.90 to 0.94 (based on Mixergy tanks on average having a 40% state of charge)</t>
  </si>
  <si>
    <t>4.00</t>
  </si>
  <si>
    <t>•	Water heating saved now summing on peak and off peak (previously only using on peak)
•	3 additional tank entries added (250L, 400L and 500L) 
•	Updated standing heat losses</t>
  </si>
  <si>
    <t>5.00</t>
  </si>
  <si>
    <t xml:space="preserve">•	Updated tank entries in "Select System" tab </t>
  </si>
  <si>
    <t>6.00</t>
  </si>
  <si>
    <t>Added 2 tank models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</si>
</sst>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00"/>
  </numFmts>
  <fonts count="40" x14ac:knownFonts="1">
    <font>
      <sz val="11"/>
      <color theme="1"/>
      <name val="Calibri"/>
      <family val="2"/>
      <scheme val="minor"/>
    </font>
    <font>
      <sz val="10"/>
      <color theme="1"/>
      <name val="Arial"/>
      <family val="2"/>
    </font>
    <font>
      <sz val="10"/>
      <color rgb="FFFF0000"/>
      <name val="Arial"/>
      <family val="2"/>
    </font>
    <font>
      <b/>
      <sz val="10"/>
      <color theme="1"/>
      <name val="Arial"/>
      <family val="2"/>
    </font>
    <font>
      <b/>
      <sz val="10"/>
      <name val="Arial"/>
      <family val="2"/>
    </font>
    <font>
      <sz val="11"/>
      <color rgb="FFFF0000"/>
      <name val="Calibri"/>
      <family val="2"/>
      <scheme val="minor"/>
    </font>
    <font>
      <sz val="8"/>
      <name val="Calibri"/>
      <family val="2"/>
      <scheme val="minor"/>
    </font>
    <font>
      <b/>
      <sz val="11"/>
      <color rgb="FFFF0000"/>
      <name val="Calibri"/>
      <family val="2"/>
      <scheme val="minor"/>
    </font>
    <font>
      <sz val="11"/>
      <color theme="1"/>
      <name val="Arial"/>
      <family val="2"/>
    </font>
    <font>
      <b/>
      <sz val="11"/>
      <color theme="1"/>
      <name val="Arial"/>
      <family val="2"/>
    </font>
    <font>
      <sz val="10"/>
      <color theme="1"/>
      <name val="Times New Roman"/>
      <family val="1"/>
    </font>
    <font>
      <sz val="8"/>
      <color theme="1"/>
      <name val="Times New Roman"/>
      <family val="1"/>
    </font>
    <font>
      <u/>
      <sz val="11"/>
      <color theme="10"/>
      <name val="Calibri"/>
      <family val="2"/>
      <scheme val="minor"/>
    </font>
    <font>
      <b/>
      <sz val="11"/>
      <color theme="1"/>
      <name val="Calibri"/>
      <family val="2"/>
      <scheme val="minor"/>
    </font>
    <font>
      <b/>
      <vertAlign val="subscript"/>
      <sz val="10"/>
      <color rgb="FF000000"/>
      <name val="Times New Roman"/>
      <family val="1"/>
    </font>
    <font>
      <sz val="8"/>
      <color rgb="FF000000"/>
      <name val="Times New Roman"/>
      <family val="1"/>
    </font>
    <font>
      <sz val="10"/>
      <color rgb="FF000000"/>
      <name val="Times New Roman"/>
      <family val="1"/>
    </font>
    <font>
      <b/>
      <vertAlign val="subscript"/>
      <sz val="10"/>
      <color theme="1"/>
      <name val="Times New Roman"/>
      <family val="1"/>
    </font>
    <font>
      <i/>
      <sz val="11"/>
      <color theme="1"/>
      <name val="Calibri"/>
      <family val="2"/>
      <scheme val="minor"/>
    </font>
    <font>
      <b/>
      <sz val="11"/>
      <name val="Arial"/>
      <family val="2"/>
    </font>
    <font>
      <b/>
      <sz val="10"/>
      <color theme="1"/>
      <name val="Times New Roman"/>
      <family val="1"/>
    </font>
    <font>
      <sz val="10"/>
      <name val="Arial"/>
      <family val="2"/>
    </font>
    <font>
      <b/>
      <sz val="11"/>
      <color rgb="FFFF0000"/>
      <name val="Arial"/>
      <family val="2"/>
    </font>
    <font>
      <sz val="11"/>
      <color rgb="FFFF0000"/>
      <name val="Arial"/>
      <family val="2"/>
    </font>
    <font>
      <sz val="11"/>
      <name val="Arial"/>
      <family val="2"/>
    </font>
    <font>
      <b/>
      <sz val="10"/>
      <color theme="4"/>
      <name val="Arial"/>
      <family val="2"/>
    </font>
    <font>
      <b/>
      <sz val="10"/>
      <color rgb="FFFF0000"/>
      <name val="Arial"/>
      <family val="2"/>
    </font>
    <font>
      <sz val="9"/>
      <color theme="1"/>
      <name val="Times New Roman"/>
      <family val="1"/>
    </font>
    <font>
      <sz val="11"/>
      <color theme="1"/>
      <name val="Calibri"/>
      <family val="2"/>
      <scheme val="minor"/>
    </font>
    <font>
      <b/>
      <sz val="11"/>
      <color theme="9"/>
      <name val="Calibri"/>
      <family val="2"/>
      <scheme val="minor"/>
    </font>
    <font>
      <b/>
      <sz val="11"/>
      <name val="Calibri"/>
      <family val="2"/>
      <scheme val="minor"/>
    </font>
    <font>
      <b/>
      <sz val="20"/>
      <color theme="1"/>
      <name val="Calibri"/>
      <family val="2"/>
      <scheme val="minor"/>
    </font>
    <font>
      <b/>
      <sz val="11"/>
      <color rgb="FFC00000"/>
      <name val="Calibri"/>
      <family val="2"/>
      <scheme val="minor"/>
    </font>
    <font>
      <b/>
      <sz val="12"/>
      <name val="Arial"/>
      <family val="2"/>
    </font>
    <font>
      <b/>
      <sz val="12"/>
      <color rgb="FFFF0000"/>
      <name val="Arial"/>
      <family val="2"/>
    </font>
    <font>
      <b/>
      <i/>
      <sz val="11"/>
      <color rgb="FFC00000"/>
      <name val="Calibri"/>
      <family val="2"/>
      <scheme val="minor"/>
    </font>
    <font>
      <b/>
      <u/>
      <sz val="11"/>
      <color theme="1"/>
      <name val="Arial"/>
      <family val="2"/>
    </font>
    <font>
      <sz val="11"/>
      <color theme="1"/>
      <name val="Calibri"/>
      <family val="2"/>
    </font>
    <font>
      <b/>
      <sz val="11"/>
      <color rgb="FF000000"/>
      <name val="Calibri"/>
      <family val="2"/>
    </font>
    <font>
      <vertAlign val="superscript"/>
      <sz val="11"/>
      <color rgb="FF000000"/>
      <name val="Calibri"/>
      <family val="2"/>
    </font>
  </fonts>
  <fills count="11">
    <fill>
      <patternFill patternType="none"/>
    </fill>
    <fill>
      <patternFill patternType="gray125"/>
    </fill>
    <fill>
      <patternFill patternType="solid">
        <fgColor indexed="35"/>
        <bgColor indexed="64"/>
      </patternFill>
    </fill>
    <fill>
      <patternFill patternType="solid">
        <fgColor theme="0"/>
        <bgColor indexed="64"/>
      </patternFill>
    </fill>
    <fill>
      <patternFill patternType="solid">
        <fgColor rgb="FFFFFF00"/>
        <bgColor indexed="64"/>
      </patternFill>
    </fill>
    <fill>
      <patternFill patternType="solid">
        <fgColor rgb="FF00FFFF"/>
        <bgColor indexed="64"/>
      </patternFill>
    </fill>
    <fill>
      <patternFill patternType="solid">
        <fgColor theme="4" tint="0.79998168889431442"/>
        <bgColor theme="4" tint="0.79998168889431442"/>
      </patternFill>
    </fill>
    <fill>
      <patternFill patternType="solid">
        <fgColor theme="9" tint="0.39997558519241921"/>
        <bgColor indexed="64"/>
      </patternFill>
    </fill>
    <fill>
      <patternFill patternType="solid">
        <fgColor rgb="FFFFFFFF"/>
        <bgColor rgb="FF000000"/>
      </patternFill>
    </fill>
    <fill>
      <patternFill patternType="solid">
        <fgColor rgb="FFFFFF00"/>
        <bgColor rgb="FF000000"/>
      </patternFill>
    </fill>
    <fill>
      <patternFill patternType="solid">
        <fgColor rgb="FFC00000"/>
        <bgColor indexed="64"/>
      </patternFill>
    </fill>
  </fills>
  <borders count="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theme="4" tint="0.39997558519241921"/>
      </left>
      <right/>
      <top/>
      <bottom/>
      <diagonal/>
    </border>
    <border>
      <left style="thin">
        <color indexed="64"/>
      </left>
      <right style="thin">
        <color indexed="64"/>
      </right>
      <top style="thin">
        <color indexed="64"/>
      </top>
      <bottom/>
      <diagonal/>
    </border>
  </borders>
  <cellStyleXfs count="8">
    <xf numFmtId="0" fontId="0" fillId="0" borderId="0"/>
    <xf numFmtId="0" fontId="12" fillId="0" borderId="0" applyNumberFormat="0" applyFill="0" applyBorder="0" applyAlignment="0" applyProtection="0"/>
    <xf numFmtId="9" fontId="28" fillId="0" borderId="0" applyFont="0" applyFill="0" applyBorder="0" applyAlignment="0" applyProtection="0"/>
    <xf numFmtId="0" fontId="28" fillId="0" borderId="0"/>
    <xf numFmtId="0" fontId="21" fillId="0" borderId="0"/>
    <xf numFmtId="0" fontId="1" fillId="0" borderId="0"/>
    <xf numFmtId="0" fontId="28" fillId="0" borderId="0"/>
    <xf numFmtId="9" fontId="28" fillId="0" borderId="0" applyFont="0" applyFill="0" applyBorder="0" applyAlignment="0" applyProtection="0"/>
  </cellStyleXfs>
  <cellXfs count="178">
    <xf numFmtId="0" fontId="0" fillId="0" borderId="0" xfId="0"/>
    <xf numFmtId="0" fontId="3" fillId="0" borderId="0" xfId="0" applyFont="1"/>
    <xf numFmtId="0" fontId="8" fillId="0" borderId="0" xfId="0" applyFont="1"/>
    <xf numFmtId="0" fontId="9" fillId="0" borderId="0" xfId="0" applyFont="1"/>
    <xf numFmtId="0" fontId="0" fillId="0" borderId="0" xfId="0" applyAlignment="1">
      <alignment horizontal="right"/>
    </xf>
    <xf numFmtId="0" fontId="11" fillId="0" borderId="0" xfId="0" applyFont="1" applyAlignment="1">
      <alignment vertical="center"/>
    </xf>
    <xf numFmtId="0" fontId="12" fillId="0" borderId="0" xfId="1" applyAlignment="1">
      <alignment vertical="center"/>
    </xf>
    <xf numFmtId="0" fontId="10" fillId="0" borderId="0" xfId="0" applyFont="1" applyAlignment="1">
      <alignment vertical="center" wrapText="1"/>
    </xf>
    <xf numFmtId="0" fontId="10" fillId="0" borderId="0" xfId="0" applyFont="1" applyAlignment="1">
      <alignment vertical="center"/>
    </xf>
    <xf numFmtId="0" fontId="10" fillId="0" borderId="0" xfId="0" applyFont="1" applyAlignment="1">
      <alignment horizontal="left" vertical="center" indent="4"/>
    </xf>
    <xf numFmtId="0" fontId="0" fillId="0" borderId="0" xfId="0" applyAlignment="1">
      <alignment wrapText="1"/>
    </xf>
    <xf numFmtId="0" fontId="8" fillId="0" borderId="13" xfId="0" applyFont="1" applyBorder="1"/>
    <xf numFmtId="0" fontId="8" fillId="0" borderId="14" xfId="0" applyFont="1" applyBorder="1"/>
    <xf numFmtId="0" fontId="8" fillId="0" borderId="15" xfId="0" applyFont="1" applyBorder="1"/>
    <xf numFmtId="0" fontId="8" fillId="0" borderId="16" xfId="0" applyFont="1" applyBorder="1"/>
    <xf numFmtId="0" fontId="4" fillId="2" borderId="1" xfId="0" applyFont="1" applyFill="1" applyBorder="1" applyAlignment="1">
      <alignment vertical="center" wrapText="1"/>
    </xf>
    <xf numFmtId="0" fontId="0" fillId="3" borderId="0" xfId="0" applyFill="1"/>
    <xf numFmtId="0" fontId="4" fillId="2" borderId="2" xfId="0" applyFont="1" applyFill="1" applyBorder="1" applyAlignment="1">
      <alignment vertical="center" wrapText="1"/>
    </xf>
    <xf numFmtId="0" fontId="13" fillId="3" borderId="0" xfId="0" applyFont="1" applyFill="1"/>
    <xf numFmtId="0" fontId="7" fillId="3" borderId="0" xfId="0" applyFont="1" applyFill="1"/>
    <xf numFmtId="0" fontId="0" fillId="3" borderId="0" xfId="0" applyFill="1" applyAlignment="1">
      <alignment horizontal="right"/>
    </xf>
    <xf numFmtId="0" fontId="0" fillId="3" borderId="0" xfId="0" applyFill="1" applyAlignment="1">
      <alignment horizontal="center"/>
    </xf>
    <xf numFmtId="0" fontId="0" fillId="3" borderId="0" xfId="0" applyFill="1" applyAlignment="1">
      <alignment horizontal="left"/>
    </xf>
    <xf numFmtId="0" fontId="3" fillId="3" borderId="0" xfId="0" applyFont="1" applyFill="1" applyAlignment="1">
      <alignment horizontal="left"/>
    </xf>
    <xf numFmtId="0" fontId="2" fillId="3" borderId="0" xfId="0" applyFont="1" applyFill="1"/>
    <xf numFmtId="0" fontId="3" fillId="3" borderId="0" xfId="0" applyFont="1" applyFill="1" applyAlignment="1">
      <alignment horizontal="center"/>
    </xf>
    <xf numFmtId="2" fontId="0" fillId="3" borderId="0" xfId="0" applyNumberFormat="1" applyFill="1" applyAlignment="1">
      <alignment horizontal="center"/>
    </xf>
    <xf numFmtId="0" fontId="4" fillId="2" borderId="0" xfId="0" applyFont="1" applyFill="1" applyAlignment="1">
      <alignment vertical="center" wrapText="1"/>
    </xf>
    <xf numFmtId="0" fontId="19" fillId="5" borderId="0" xfId="0" applyFont="1" applyFill="1"/>
    <xf numFmtId="2" fontId="8" fillId="0" borderId="0" xfId="0" applyNumberFormat="1" applyFont="1" applyAlignment="1">
      <alignment horizontal="center"/>
    </xf>
    <xf numFmtId="2" fontId="9" fillId="0" borderId="0" xfId="0" applyNumberFormat="1" applyFont="1" applyAlignment="1">
      <alignment horizontal="center"/>
    </xf>
    <xf numFmtId="0" fontId="19" fillId="5" borderId="13" xfId="0" applyFont="1" applyFill="1" applyBorder="1"/>
    <xf numFmtId="0" fontId="8" fillId="6" borderId="13" xfId="0" applyFont="1" applyFill="1" applyBorder="1"/>
    <xf numFmtId="0" fontId="10" fillId="0" borderId="0" xfId="0" applyFont="1" applyAlignment="1">
      <alignment horizontal="left" vertical="center" indent="1"/>
    </xf>
    <xf numFmtId="0" fontId="4" fillId="0" borderId="0" xfId="0" applyFont="1" applyAlignment="1">
      <alignment vertical="center" wrapText="1"/>
    </xf>
    <xf numFmtId="0" fontId="4" fillId="0" borderId="0" xfId="0" applyFont="1" applyAlignment="1">
      <alignment horizontal="center" vertical="center" wrapText="1"/>
    </xf>
    <xf numFmtId="0" fontId="19" fillId="5" borderId="17" xfId="0" applyFont="1" applyFill="1" applyBorder="1"/>
    <xf numFmtId="0" fontId="22" fillId="0" borderId="0" xfId="0" applyFont="1"/>
    <xf numFmtId="0" fontId="0" fillId="6" borderId="14" xfId="0" applyFill="1" applyBorder="1"/>
    <xf numFmtId="0" fontId="0" fillId="0" borderId="14" xfId="0" applyBorder="1"/>
    <xf numFmtId="0" fontId="8" fillId="0" borderId="0" xfId="0" applyFont="1" applyAlignment="1">
      <alignment vertical="center" wrapText="1"/>
    </xf>
    <xf numFmtId="0" fontId="23" fillId="0" borderId="0" xfId="0" applyFont="1"/>
    <xf numFmtId="0" fontId="19" fillId="5" borderId="14" xfId="0" applyFont="1" applyFill="1" applyBorder="1"/>
    <xf numFmtId="0" fontId="8" fillId="6" borderId="14" xfId="0" applyFont="1" applyFill="1" applyBorder="1"/>
    <xf numFmtId="0" fontId="8" fillId="6" borderId="16" xfId="0" applyFont="1" applyFill="1" applyBorder="1"/>
    <xf numFmtId="0" fontId="8" fillId="6" borderId="15" xfId="0" applyFont="1" applyFill="1" applyBorder="1"/>
    <xf numFmtId="0" fontId="19" fillId="5" borderId="18" xfId="0" applyFont="1" applyFill="1" applyBorder="1"/>
    <xf numFmtId="0" fontId="0" fillId="0" borderId="14" xfId="0" applyBorder="1" applyAlignment="1">
      <alignment wrapText="1"/>
    </xf>
    <xf numFmtId="0" fontId="0" fillId="6" borderId="14" xfId="0" applyFill="1" applyBorder="1" applyAlignment="1">
      <alignment wrapText="1"/>
    </xf>
    <xf numFmtId="0" fontId="0" fillId="6" borderId="15" xfId="0" applyFill="1" applyBorder="1" applyAlignment="1">
      <alignment wrapText="1"/>
    </xf>
    <xf numFmtId="0" fontId="0" fillId="6" borderId="15" xfId="0" applyFill="1" applyBorder="1"/>
    <xf numFmtId="0" fontId="5" fillId="0" borderId="0" xfId="0" applyFont="1"/>
    <xf numFmtId="0" fontId="0" fillId="0" borderId="15" xfId="0" applyBorder="1"/>
    <xf numFmtId="0" fontId="0" fillId="0" borderId="15" xfId="0" applyBorder="1" applyAlignment="1">
      <alignment wrapText="1"/>
    </xf>
    <xf numFmtId="2" fontId="24" fillId="0" borderId="0" xfId="0" applyNumberFormat="1" applyFont="1" applyAlignment="1">
      <alignment horizontal="center"/>
    </xf>
    <xf numFmtId="0" fontId="8" fillId="6" borderId="0" xfId="0" applyFont="1" applyFill="1"/>
    <xf numFmtId="0" fontId="10" fillId="0" borderId="0" xfId="0" applyFont="1" applyAlignment="1">
      <alignment horizontal="center" vertical="center" wrapText="1"/>
    </xf>
    <xf numFmtId="165" fontId="8" fillId="0" borderId="0" xfId="0" applyNumberFormat="1" applyFont="1" applyAlignment="1">
      <alignment horizontal="center"/>
    </xf>
    <xf numFmtId="2" fontId="8" fillId="0" borderId="0" xfId="0" applyNumberFormat="1" applyFont="1"/>
    <xf numFmtId="0" fontId="28" fillId="0" borderId="0" xfId="3"/>
    <xf numFmtId="0" fontId="19" fillId="0" borderId="0" xfId="0" applyFont="1"/>
    <xf numFmtId="2" fontId="8" fillId="0" borderId="0" xfId="0" applyNumberFormat="1" applyFont="1" applyAlignment="1">
      <alignment horizontal="right"/>
    </xf>
    <xf numFmtId="165" fontId="8" fillId="0" borderId="0" xfId="0" applyNumberFormat="1" applyFont="1" applyAlignment="1">
      <alignment horizontal="right"/>
    </xf>
    <xf numFmtId="0" fontId="10" fillId="0" borderId="0" xfId="0" applyFont="1" applyAlignment="1">
      <alignment horizontal="center" vertical="center"/>
    </xf>
    <xf numFmtId="0" fontId="20" fillId="0" borderId="0" xfId="0" applyFont="1" applyAlignment="1">
      <alignment vertical="center"/>
    </xf>
    <xf numFmtId="0" fontId="27" fillId="0" borderId="0" xfId="0" applyFont="1" applyAlignment="1">
      <alignment horizontal="center" vertical="center"/>
    </xf>
    <xf numFmtId="0" fontId="9" fillId="0" borderId="0" xfId="0" applyFont="1" applyAlignment="1">
      <alignment horizontal="right"/>
    </xf>
    <xf numFmtId="0" fontId="8" fillId="0" borderId="0" xfId="0" applyFont="1" applyAlignment="1">
      <alignment horizontal="right"/>
    </xf>
    <xf numFmtId="0" fontId="13" fillId="0" borderId="0" xfId="0" applyFont="1" applyAlignment="1">
      <alignment horizontal="right"/>
    </xf>
    <xf numFmtId="2" fontId="9" fillId="0" borderId="0" xfId="0" applyNumberFormat="1" applyFont="1"/>
    <xf numFmtId="0" fontId="13" fillId="0" borderId="0" xfId="0" applyFont="1"/>
    <xf numFmtId="0" fontId="4" fillId="2" borderId="0" xfId="0" applyFont="1" applyFill="1" applyAlignment="1">
      <alignment horizontal="center" vertical="center" wrapText="1"/>
    </xf>
    <xf numFmtId="0" fontId="19" fillId="5" borderId="19" xfId="0" applyFont="1" applyFill="1" applyBorder="1"/>
    <xf numFmtId="0" fontId="0" fillId="4" borderId="0" xfId="0" applyFill="1" applyAlignment="1" applyProtection="1">
      <alignment horizontal="right"/>
      <protection locked="0"/>
    </xf>
    <xf numFmtId="2" fontId="0" fillId="4" borderId="0" xfId="0" applyNumberFormat="1" applyFill="1" applyAlignment="1" applyProtection="1">
      <alignment horizontal="right"/>
      <protection locked="0"/>
    </xf>
    <xf numFmtId="0" fontId="4" fillId="4" borderId="2" xfId="0" applyFont="1" applyFill="1" applyBorder="1" applyAlignment="1" applyProtection="1">
      <alignment vertical="center" wrapText="1"/>
      <protection locked="0"/>
    </xf>
    <xf numFmtId="2" fontId="8" fillId="0" borderId="0" xfId="0" applyNumberFormat="1" applyFont="1" applyAlignment="1">
      <alignment vertical="center" wrapText="1"/>
    </xf>
    <xf numFmtId="0" fontId="31" fillId="3" borderId="0" xfId="0" applyFont="1" applyFill="1"/>
    <xf numFmtId="0" fontId="29" fillId="3" borderId="0" xfId="0" applyFont="1" applyFill="1"/>
    <xf numFmtId="0" fontId="33" fillId="2" borderId="1" xfId="0" applyFont="1" applyFill="1" applyBorder="1" applyAlignment="1">
      <alignment vertical="center" wrapText="1"/>
    </xf>
    <xf numFmtId="0" fontId="33" fillId="2" borderId="2" xfId="0" applyFont="1" applyFill="1" applyBorder="1" applyAlignment="1">
      <alignment vertical="center" wrapText="1"/>
    </xf>
    <xf numFmtId="0" fontId="34" fillId="2" borderId="2" xfId="0" applyFont="1" applyFill="1" applyBorder="1" applyAlignment="1">
      <alignment vertical="center" wrapText="1"/>
    </xf>
    <xf numFmtId="0" fontId="26" fillId="2" borderId="2" xfId="0" applyFont="1" applyFill="1" applyBorder="1" applyAlignment="1">
      <alignment vertical="center" wrapText="1"/>
    </xf>
    <xf numFmtId="0" fontId="18" fillId="3" borderId="0" xfId="0" applyFont="1" applyFill="1"/>
    <xf numFmtId="0" fontId="18" fillId="3" borderId="0" xfId="0" applyFont="1" applyFill="1" applyAlignment="1">
      <alignment horizontal="right"/>
    </xf>
    <xf numFmtId="0" fontId="0" fillId="3" borderId="0" xfId="0" applyFill="1" applyAlignment="1">
      <alignment wrapText="1"/>
    </xf>
    <xf numFmtId="0" fontId="32" fillId="3" borderId="0" xfId="0" applyFont="1" applyFill="1"/>
    <xf numFmtId="0" fontId="33" fillId="2" borderId="1" xfId="0" applyFont="1" applyFill="1" applyBorder="1" applyAlignment="1">
      <alignment horizontal="left" vertical="center" wrapText="1"/>
    </xf>
    <xf numFmtId="0" fontId="33" fillId="2" borderId="2" xfId="0" applyFont="1" applyFill="1" applyBorder="1" applyAlignment="1">
      <alignment vertical="center"/>
    </xf>
    <xf numFmtId="0" fontId="30" fillId="3" borderId="0" xfId="0" applyFont="1" applyFill="1"/>
    <xf numFmtId="0" fontId="32" fillId="3" borderId="11" xfId="0" applyFont="1" applyFill="1" applyBorder="1" applyAlignment="1">
      <alignment horizontal="left" vertical="top" wrapText="1"/>
    </xf>
    <xf numFmtId="0" fontId="7" fillId="3" borderId="0" xfId="0" applyFont="1" applyFill="1" applyAlignment="1">
      <alignment horizontal="left" vertical="top" wrapText="1"/>
    </xf>
    <xf numFmtId="0" fontId="7" fillId="3" borderId="12" xfId="0" applyFont="1" applyFill="1" applyBorder="1" applyAlignment="1">
      <alignment horizontal="left" vertical="top" wrapText="1"/>
    </xf>
    <xf numFmtId="0" fontId="20" fillId="0" borderId="0" xfId="0" applyFont="1" applyAlignment="1">
      <alignment horizontal="center" vertical="center"/>
    </xf>
    <xf numFmtId="0" fontId="13" fillId="0" borderId="0" xfId="0" applyFont="1" applyAlignment="1">
      <alignment vertical="center"/>
    </xf>
    <xf numFmtId="0" fontId="0" fillId="0" borderId="0" xfId="0" applyAlignment="1">
      <alignment vertical="center"/>
    </xf>
    <xf numFmtId="0" fontId="4" fillId="0" borderId="0" xfId="0" applyFont="1" applyAlignment="1">
      <alignment vertical="center"/>
    </xf>
    <xf numFmtId="0" fontId="21" fillId="0" borderId="0" xfId="0" applyFont="1" applyAlignment="1">
      <alignment vertical="center"/>
    </xf>
    <xf numFmtId="0" fontId="0" fillId="0" borderId="0" xfId="0" applyAlignment="1">
      <alignment horizontal="left" vertical="center"/>
    </xf>
    <xf numFmtId="0" fontId="4" fillId="0" borderId="0" xfId="0" applyFont="1" applyAlignment="1">
      <alignment horizontal="center" vertical="center"/>
    </xf>
    <xf numFmtId="0" fontId="21" fillId="0" borderId="0" xfId="0" applyFont="1" applyAlignment="1">
      <alignment horizontal="left" vertical="center"/>
    </xf>
    <xf numFmtId="0" fontId="13" fillId="0" borderId="0" xfId="0" applyFont="1" applyAlignment="1">
      <alignment horizontal="left" vertical="center"/>
    </xf>
    <xf numFmtId="0" fontId="4" fillId="3" borderId="5" xfId="0" applyFont="1" applyFill="1" applyBorder="1" applyAlignment="1">
      <alignment vertical="center" wrapText="1"/>
    </xf>
    <xf numFmtId="0" fontId="4" fillId="3" borderId="9" xfId="0" applyFont="1" applyFill="1" applyBorder="1" applyAlignment="1">
      <alignment vertical="center" wrapText="1"/>
    </xf>
    <xf numFmtId="0" fontId="25" fillId="3" borderId="5" xfId="0" applyFont="1" applyFill="1" applyBorder="1" applyAlignment="1">
      <alignment vertical="center" wrapText="1"/>
    </xf>
    <xf numFmtId="0" fontId="16" fillId="0" borderId="0" xfId="0" applyFont="1" applyAlignment="1">
      <alignment horizontal="center" vertical="center" wrapText="1"/>
    </xf>
    <xf numFmtId="0" fontId="0" fillId="3" borderId="3" xfId="0" applyFill="1" applyBorder="1"/>
    <xf numFmtId="0" fontId="0" fillId="3" borderId="4" xfId="0" applyFill="1" applyBorder="1"/>
    <xf numFmtId="164" fontId="0" fillId="3" borderId="4" xfId="0" applyNumberFormat="1" applyFill="1" applyBorder="1"/>
    <xf numFmtId="0" fontId="9" fillId="4" borderId="0" xfId="0" applyFont="1" applyFill="1"/>
    <xf numFmtId="2" fontId="9" fillId="0" borderId="0" xfId="0" applyNumberFormat="1" applyFont="1" applyAlignment="1">
      <alignment horizontal="right"/>
    </xf>
    <xf numFmtId="0" fontId="0" fillId="0" borderId="0" xfId="0" applyAlignment="1">
      <alignment horizontal="center"/>
    </xf>
    <xf numFmtId="2" fontId="8" fillId="4" borderId="0" xfId="0" applyNumberFormat="1" applyFont="1" applyFill="1" applyProtection="1">
      <protection locked="0"/>
    </xf>
    <xf numFmtId="2" fontId="8" fillId="4" borderId="0" xfId="0" applyNumberFormat="1" applyFont="1" applyFill="1"/>
    <xf numFmtId="9" fontId="19" fillId="0" borderId="0" xfId="2" applyFont="1" applyFill="1" applyAlignment="1"/>
    <xf numFmtId="2" fontId="8" fillId="4" borderId="0" xfId="0" applyNumberFormat="1" applyFont="1" applyFill="1" applyAlignment="1">
      <alignment horizontal="right"/>
    </xf>
    <xf numFmtId="2" fontId="9" fillId="4" borderId="0" xfId="0" applyNumberFormat="1" applyFont="1" applyFill="1" applyAlignment="1">
      <alignment horizontal="right"/>
    </xf>
    <xf numFmtId="2" fontId="9" fillId="4" borderId="0" xfId="0" applyNumberFormat="1" applyFont="1" applyFill="1"/>
    <xf numFmtId="0" fontId="8" fillId="4" borderId="0" xfId="0" applyFont="1" applyFill="1" applyAlignment="1">
      <alignment horizontal="right"/>
    </xf>
    <xf numFmtId="0" fontId="9" fillId="0" borderId="0" xfId="0" applyFont="1" applyAlignment="1">
      <alignment horizontal="right" wrapText="1"/>
    </xf>
    <xf numFmtId="0" fontId="8" fillId="0" borderId="12" xfId="0" applyFont="1" applyBorder="1"/>
    <xf numFmtId="0" fontId="9" fillId="0" borderId="0" xfId="0" applyFont="1" applyAlignment="1">
      <alignment wrapText="1"/>
    </xf>
    <xf numFmtId="0" fontId="9" fillId="7" borderId="0" xfId="0" applyFont="1" applyFill="1"/>
    <xf numFmtId="0" fontId="9" fillId="0" borderId="12" xfId="0" applyFont="1" applyBorder="1"/>
    <xf numFmtId="0" fontId="9" fillId="4" borderId="12" xfId="0" applyFont="1" applyFill="1" applyBorder="1"/>
    <xf numFmtId="0" fontId="36" fillId="0" borderId="0" xfId="0" applyFont="1"/>
    <xf numFmtId="0" fontId="8" fillId="6" borderId="20" xfId="0" applyFont="1" applyFill="1" applyBorder="1"/>
    <xf numFmtId="0" fontId="24" fillId="0" borderId="0" xfId="0" applyFont="1"/>
    <xf numFmtId="0" fontId="37" fillId="8" borderId="0" xfId="0" applyFont="1" applyFill="1"/>
    <xf numFmtId="0" fontId="38" fillId="8" borderId="0" xfId="0" applyFont="1" applyFill="1"/>
    <xf numFmtId="0" fontId="37" fillId="9" borderId="0" xfId="0" applyFont="1" applyFill="1" applyProtection="1">
      <protection locked="0"/>
    </xf>
    <xf numFmtId="2" fontId="24" fillId="0" borderId="0" xfId="0" applyNumberFormat="1" applyFont="1" applyAlignment="1">
      <alignment vertical="center" wrapText="1"/>
    </xf>
    <xf numFmtId="2" fontId="24" fillId="0" borderId="0" xfId="0" applyNumberFormat="1" applyFont="1"/>
    <xf numFmtId="2" fontId="9" fillId="7" borderId="0" xfId="0" applyNumberFormat="1" applyFont="1" applyFill="1"/>
    <xf numFmtId="2" fontId="0" fillId="0" borderId="4" xfId="0" applyNumberFormat="1" applyBorder="1"/>
    <xf numFmtId="14" fontId="0" fillId="0" borderId="4" xfId="0" applyNumberFormat="1" applyBorder="1"/>
    <xf numFmtId="0" fontId="0" fillId="0" borderId="4" xfId="0" applyBorder="1"/>
    <xf numFmtId="0" fontId="0" fillId="0" borderId="4" xfId="0" applyBorder="1" applyAlignment="1">
      <alignment wrapText="1"/>
    </xf>
    <xf numFmtId="49" fontId="0" fillId="0" borderId="4" xfId="0" applyNumberFormat="1" applyBorder="1" applyAlignment="1">
      <alignment horizontal="right"/>
    </xf>
    <xf numFmtId="0" fontId="0" fillId="3" borderId="4" xfId="0" applyFill="1" applyBorder="1" applyAlignment="1">
      <alignment horizontal="left"/>
    </xf>
    <xf numFmtId="0" fontId="0" fillId="10" borderId="4" xfId="0" applyFill="1" applyBorder="1"/>
    <xf numFmtId="0" fontId="0" fillId="10" borderId="4" xfId="0" applyFill="1" applyBorder="1" applyAlignment="1">
      <alignment horizontal="left"/>
    </xf>
    <xf numFmtId="164" fontId="0" fillId="10" borderId="4" xfId="0" applyNumberFormat="1" applyFill="1" applyBorder="1"/>
    <xf numFmtId="0" fontId="0" fillId="10" borderId="21" xfId="0" applyFill="1" applyBorder="1"/>
    <xf numFmtId="0" fontId="0" fillId="10" borderId="21" xfId="0" applyFill="1" applyBorder="1" applyAlignment="1">
      <alignment horizontal="left"/>
    </xf>
    <xf numFmtId="164" fontId="0" fillId="10" borderId="21" xfId="0" applyNumberFormat="1" applyFill="1" applyBorder="1"/>
    <xf numFmtId="0" fontId="0" fillId="10" borderId="3" xfId="0" applyFill="1" applyBorder="1"/>
    <xf numFmtId="0" fontId="20" fillId="0" borderId="0" xfId="0" applyFont="1" applyAlignment="1">
      <alignment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3" fillId="2" borderId="2" xfId="0" applyFont="1" applyFill="1" applyBorder="1" applyAlignment="1">
      <alignment horizontal="left" vertical="center" wrapText="1"/>
    </xf>
    <xf numFmtId="0" fontId="33" fillId="2" borderId="1" xfId="0" applyFont="1" applyFill="1" applyBorder="1" applyAlignment="1">
      <alignment horizontal="left" vertical="center" wrapText="1"/>
    </xf>
    <xf numFmtId="0" fontId="32" fillId="3" borderId="6" xfId="0" applyFont="1" applyFill="1" applyBorder="1" applyAlignment="1">
      <alignment horizontal="left" vertical="top"/>
    </xf>
    <xf numFmtId="0" fontId="7" fillId="3" borderId="7" xfId="0" applyFont="1" applyFill="1" applyBorder="1" applyAlignment="1">
      <alignment horizontal="left" vertical="top"/>
    </xf>
    <xf numFmtId="0" fontId="7" fillId="3" borderId="8" xfId="0" applyFont="1" applyFill="1" applyBorder="1" applyAlignment="1">
      <alignment horizontal="left" vertical="top"/>
    </xf>
    <xf numFmtId="0" fontId="7" fillId="3" borderId="9" xfId="0" applyFont="1" applyFill="1" applyBorder="1" applyAlignment="1">
      <alignment horizontal="left" vertical="top"/>
    </xf>
    <xf numFmtId="0" fontId="7" fillId="3" borderId="5" xfId="0" applyFont="1" applyFill="1" applyBorder="1" applyAlignment="1">
      <alignment horizontal="left" vertical="top"/>
    </xf>
    <xf numFmtId="0" fontId="7" fillId="3" borderId="10" xfId="0" applyFont="1" applyFill="1" applyBorder="1" applyAlignment="1">
      <alignment horizontal="left" vertical="top"/>
    </xf>
    <xf numFmtId="0" fontId="32" fillId="3" borderId="6" xfId="0" applyFont="1" applyFill="1" applyBorder="1" applyAlignment="1">
      <alignment horizontal="left" vertical="top" wrapText="1"/>
    </xf>
    <xf numFmtId="0" fontId="7" fillId="3" borderId="7" xfId="0" applyFont="1" applyFill="1" applyBorder="1" applyAlignment="1">
      <alignment horizontal="left" vertical="top" wrapText="1"/>
    </xf>
    <xf numFmtId="0" fontId="7" fillId="3" borderId="8" xfId="0" applyFont="1" applyFill="1" applyBorder="1" applyAlignment="1">
      <alignment horizontal="left" vertical="top" wrapText="1"/>
    </xf>
    <xf numFmtId="0" fontId="7" fillId="3" borderId="11" xfId="0" applyFont="1" applyFill="1" applyBorder="1" applyAlignment="1">
      <alignment horizontal="left" vertical="top" wrapText="1"/>
    </xf>
    <xf numFmtId="0" fontId="7" fillId="3" borderId="0" xfId="0" applyFont="1" applyFill="1" applyAlignment="1">
      <alignment horizontal="left" vertical="top" wrapText="1"/>
    </xf>
    <xf numFmtId="0" fontId="7" fillId="3" borderId="12" xfId="0" applyFont="1" applyFill="1" applyBorder="1" applyAlignment="1">
      <alignment horizontal="left" vertical="top" wrapText="1"/>
    </xf>
    <xf numFmtId="0" fontId="7" fillId="3" borderId="9" xfId="0" applyFont="1" applyFill="1" applyBorder="1" applyAlignment="1">
      <alignment horizontal="left" vertical="top" wrapText="1"/>
    </xf>
    <xf numFmtId="0" fontId="7" fillId="3" borderId="5" xfId="0" applyFont="1" applyFill="1" applyBorder="1" applyAlignment="1">
      <alignment horizontal="left" vertical="top" wrapText="1"/>
    </xf>
    <xf numFmtId="0" fontId="7" fillId="3" borderId="10" xfId="0" applyFont="1" applyFill="1" applyBorder="1" applyAlignment="1">
      <alignment horizontal="left" vertical="top" wrapText="1"/>
    </xf>
    <xf numFmtId="0" fontId="32" fillId="3" borderId="6" xfId="0" applyFont="1" applyFill="1" applyBorder="1" applyAlignment="1">
      <alignment horizontal="left" wrapText="1"/>
    </xf>
    <xf numFmtId="0" fontId="32" fillId="3" borderId="7" xfId="0" applyFont="1" applyFill="1" applyBorder="1" applyAlignment="1">
      <alignment horizontal="left" wrapText="1"/>
    </xf>
    <xf numFmtId="0" fontId="32" fillId="3" borderId="8" xfId="0" applyFont="1" applyFill="1" applyBorder="1" applyAlignment="1">
      <alignment horizontal="left" wrapText="1"/>
    </xf>
    <xf numFmtId="0" fontId="32" fillId="3" borderId="11" xfId="0" applyFont="1" applyFill="1" applyBorder="1" applyAlignment="1">
      <alignment horizontal="left" wrapText="1"/>
    </xf>
    <xf numFmtId="0" fontId="32" fillId="3" borderId="0" xfId="0" applyFont="1" applyFill="1" applyAlignment="1">
      <alignment horizontal="left" wrapText="1"/>
    </xf>
    <xf numFmtId="0" fontId="32" fillId="3" borderId="12" xfId="0" applyFont="1" applyFill="1" applyBorder="1" applyAlignment="1">
      <alignment horizontal="left" wrapText="1"/>
    </xf>
    <xf numFmtId="0" fontId="32" fillId="3" borderId="9" xfId="0" applyFont="1" applyFill="1" applyBorder="1" applyAlignment="1">
      <alignment horizontal="left" wrapText="1"/>
    </xf>
    <xf numFmtId="0" fontId="32" fillId="3" borderId="5" xfId="0" applyFont="1" applyFill="1" applyBorder="1" applyAlignment="1">
      <alignment horizontal="left" wrapText="1"/>
    </xf>
    <xf numFmtId="0" fontId="32" fillId="3" borderId="10" xfId="0" applyFont="1" applyFill="1" applyBorder="1" applyAlignment="1">
      <alignment horizontal="left" wrapText="1"/>
    </xf>
    <xf numFmtId="0" fontId="4" fillId="2" borderId="0" xfId="0" applyFont="1" applyFill="1" applyAlignment="1">
      <alignment horizontal="center" vertical="center" wrapText="1"/>
    </xf>
  </cellXfs>
  <cellStyles count="8">
    <cellStyle name="Hyperlink" xfId="1" builtinId="8"/>
    <cellStyle name="Normal" xfId="0" builtinId="0"/>
    <cellStyle name="Normal 10" xfId="4" xr:uid="{E27E544D-3658-4A52-BCAB-FDBF20B8C622}"/>
    <cellStyle name="Normal 2" xfId="3" xr:uid="{1574D9D3-C6D5-4407-ABDB-65A87CA21788}"/>
    <cellStyle name="Normal 3" xfId="6" xr:uid="{63C61F4F-B030-44D7-98D4-91A92F36BCBC}"/>
    <cellStyle name="Normal 4" xfId="5" xr:uid="{18893AB5-7A4B-4B66-BDF1-1C0F5347A876}"/>
    <cellStyle name="Per cent" xfId="2" builtinId="5"/>
    <cellStyle name="Percent 2" xfId="7" xr:uid="{2BBEB908-1C5E-4FF7-8C95-AFC24E4EF7B4}"/>
  </cellStyles>
  <dxfs count="104">
    <dxf>
      <font>
        <b val="0"/>
        <i val="0"/>
        <strike val="0"/>
        <condense val="0"/>
        <extend val="0"/>
        <outline val="0"/>
        <shadow val="0"/>
        <u val="none"/>
        <vertAlign val="baseline"/>
        <sz val="11"/>
        <color theme="1"/>
        <name val="Arial"/>
        <family val="2"/>
        <scheme val="none"/>
      </font>
      <fill>
        <patternFill patternType="none">
          <fgColor indexed="64"/>
          <bgColor indexed="65"/>
        </patternFill>
      </fill>
    </dxf>
    <dxf>
      <font>
        <b val="0"/>
        <i val="0"/>
        <strike val="0"/>
        <condense val="0"/>
        <extend val="0"/>
        <outline val="0"/>
        <shadow val="0"/>
        <u val="none"/>
        <vertAlign val="baseline"/>
        <sz val="11"/>
        <color theme="1"/>
        <name val="Arial"/>
        <family val="2"/>
        <scheme val="none"/>
      </font>
      <fill>
        <patternFill patternType="none">
          <fgColor indexed="64"/>
          <bgColor indexed="65"/>
        </patternFill>
      </fill>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font>
        <b val="0"/>
        <i val="0"/>
        <strike val="0"/>
        <condense val="0"/>
        <extend val="0"/>
        <outline val="0"/>
        <shadow val="0"/>
        <u val="none"/>
        <vertAlign val="baseline"/>
        <sz val="11"/>
        <color theme="1"/>
        <name val="Arial"/>
        <family val="2"/>
        <scheme val="none"/>
      </font>
      <border diagonalUp="0" diagonalDown="0">
        <left style="thin">
          <color theme="4" tint="0.39997558519241921"/>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Arial"/>
        <family val="2"/>
        <scheme val="none"/>
      </font>
      <border diagonalUp="0" diagonalDown="0">
        <left style="thin">
          <color theme="4" tint="0.39997558519241921"/>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Arial"/>
        <family val="2"/>
        <scheme val="none"/>
      </font>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font>
        <name val="Arial"/>
        <family val="2"/>
        <scheme val="none"/>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font>
        <name val="Arial"/>
        <family val="2"/>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name val="Arial"/>
        <family val="2"/>
        <scheme val="none"/>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name val="Arial"/>
        <family val="2"/>
        <scheme val="none"/>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name val="Arial"/>
        <family val="2"/>
        <scheme val="none"/>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font>
        <name val="Arial"/>
        <family val="2"/>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font>
        <name val="Arial"/>
        <family val="2"/>
        <scheme val="none"/>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font>
        <name val="Arial"/>
        <family val="2"/>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name val="Arial"/>
        <family val="2"/>
        <scheme val="none"/>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name val="Arial"/>
        <family val="2"/>
        <scheme val="none"/>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name val="Arial"/>
        <family val="2"/>
        <scheme val="none"/>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font>
        <name val="Arial"/>
        <family val="2"/>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numFmt numFmtId="0" formatCode="General"/>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border diagonalUp="0" diagonalDown="0" outline="0">
        <left/>
        <right/>
        <top style="thin">
          <color theme="4" tint="0.39997558519241921"/>
        </top>
        <bottom/>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border diagonalUp="0" diagonalDown="0" outline="0">
        <left/>
        <right/>
        <top style="thin">
          <color theme="4" tint="0.39997558519241921"/>
        </top>
        <bottom/>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border diagonalUp="0" diagonalDown="0" outline="0">
        <left style="thin">
          <color theme="4" tint="0.39997558519241921"/>
        </left>
        <right/>
        <top style="thin">
          <color theme="4" tint="0.39997558519241921"/>
        </top>
        <bottom/>
      </border>
    </dxf>
    <dxf>
      <border outline="0">
        <right style="thin">
          <color theme="4" tint="0.39997558519241921"/>
        </right>
        <bottom style="thin">
          <color theme="4" tint="0.39997558519241921"/>
        </bottom>
      </border>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numFmt numFmtId="0" formatCode="General"/>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border diagonalUp="0" diagonalDown="0">
        <left/>
        <right/>
        <top style="thin">
          <color theme="4" tint="0.39997558519241921"/>
        </top>
        <bottom/>
        <vertical/>
        <horizontal/>
      </border>
    </dxf>
    <dxf>
      <border diagonalUp="0" diagonalDown="0">
        <left/>
        <right/>
        <top style="thin">
          <color theme="4" tint="0.39997558519241921"/>
        </top>
        <bottom/>
        <vertical/>
        <horizontal/>
      </border>
    </dxf>
    <dxf>
      <border diagonalUp="0" diagonalDown="0">
        <left/>
        <right/>
        <top style="thin">
          <color theme="4" tint="0.39997558519241921"/>
        </top>
        <bottom/>
        <vertical/>
        <horizontal/>
      </border>
    </dxf>
    <dxf>
      <border diagonalUp="0" diagonalDown="0">
        <left/>
        <right/>
        <top style="thin">
          <color theme="4" tint="0.39997558519241921"/>
        </top>
        <bottom/>
        <vertical/>
        <horizontal/>
      </border>
    </dxf>
    <dxf>
      <border diagonalUp="0" diagonalDown="0">
        <left/>
        <right/>
        <top style="thin">
          <color theme="4" tint="0.39997558519241921"/>
        </top>
        <bottom/>
        <vertical/>
        <horizontal/>
      </border>
    </dxf>
    <dxf>
      <border diagonalUp="0" diagonalDown="0">
        <left/>
        <right/>
        <top style="thin">
          <color theme="4" tint="0.39997558519241921"/>
        </top>
        <bottom/>
        <vertical/>
        <horizontal/>
      </border>
    </dxf>
    <dxf>
      <alignment horizontal="general" vertical="bottom" textRotation="0" wrapText="1" indent="0" justifyLastLine="0" shrinkToFit="0" readingOrder="0"/>
      <border diagonalUp="0" diagonalDown="0">
        <left/>
        <right/>
        <top style="thin">
          <color theme="4" tint="0.39997558519241921"/>
        </top>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font>
        <b val="0"/>
        <i val="0"/>
        <strike val="0"/>
        <condense val="0"/>
        <extend val="0"/>
        <outline val="0"/>
        <shadow val="0"/>
        <u val="none"/>
        <vertAlign val="baseline"/>
        <sz val="10"/>
        <color rgb="FF000000"/>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0"/>
        <color rgb="FF000000"/>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dxf>
    <dxf>
      <font>
        <b/>
        <i val="0"/>
        <strike val="0"/>
        <condense val="0"/>
        <extend val="0"/>
        <outline val="0"/>
        <shadow val="0"/>
        <u val="none"/>
        <vertAlign val="baseline"/>
        <sz val="10"/>
        <color theme="1"/>
        <name val="Times New Roman"/>
        <family val="1"/>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rgb="FF00FFFF"/>
        </patternFill>
      </fill>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top style="thin">
          <color indexed="64"/>
        </top>
        <bottom style="thin">
          <color indexed="64"/>
        </bottom>
      </border>
    </dxf>
    <dxf>
      <fill>
        <patternFill patternType="solid">
          <fgColor indexed="64"/>
          <bgColor theme="0"/>
        </patternFill>
      </fill>
      <protection locked="1" hidden="0"/>
    </dxf>
    <dxf>
      <border outline="0">
        <bottom style="thin">
          <color indexed="64"/>
        </bottom>
      </border>
    </dxf>
    <dxf>
      <font>
        <b/>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center" textRotation="0" wrapText="1" indent="0" justifyLastLine="0" shrinkToFit="0" readingOrder="0"/>
      <protection locked="1" hidden="0"/>
    </dxf>
  </dxfs>
  <tableStyles count="0" defaultTableStyle="TableStyleMedium2" defaultPivotStyle="PivotStyleLight16"/>
  <colors>
    <mruColors>
      <color rgb="FFFF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120020259299057"/>
          <c:y val="6.7907599323775769E-2"/>
          <c:w val="0.84225835340124522"/>
          <c:h val="0.68647453509584155"/>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yVal>
            <c:numRef>
              <c:f>Details!$C$28:$N$28</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c:ext xmlns:c16="http://schemas.microsoft.com/office/drawing/2014/chart" uri="{C3380CC4-5D6E-409C-BE32-E72D297353CC}">
              <c16:uniqueId val="{00000000-D553-4740-8C8A-410CFE8FBB3C}"/>
            </c:ext>
          </c:extLst>
        </c:ser>
        <c:dLbls>
          <c:showLegendKey val="0"/>
          <c:showVal val="0"/>
          <c:showCatName val="0"/>
          <c:showSerName val="0"/>
          <c:showPercent val="0"/>
          <c:showBubbleSize val="0"/>
        </c:dLbls>
        <c:axId val="291134392"/>
        <c:axId val="291134720"/>
      </c:scatterChart>
      <c:valAx>
        <c:axId val="291134392"/>
        <c:scaling>
          <c:orientation val="minMax"/>
          <c:max val="12"/>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Months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134720"/>
        <c:crosses val="autoZero"/>
        <c:crossBetween val="midCat"/>
      </c:valAx>
      <c:valAx>
        <c:axId val="291134720"/>
        <c:scaling>
          <c:orientation val="minMax"/>
        </c:scaling>
        <c:delete val="0"/>
        <c:axPos val="l"/>
        <c:majorGridlines>
          <c:spPr>
            <a:ln w="9525" cap="flat" cmpd="sng" algn="ctr">
              <a:solidFill>
                <a:schemeClr val="tx1">
                  <a:lumMod val="15000"/>
                  <a:lumOff val="85000"/>
                </a:schemeClr>
              </a:solidFill>
              <a:round/>
            </a:ln>
            <a:effectLst/>
          </c:spPr>
        </c:majorGridlines>
        <c:title>
          <c:tx>
            <c:strRef>
              <c:f>Details!$B$28</c:f>
              <c:strCache>
                <c:ptCount val="1"/>
                <c:pt idx="0">
                  <c:v>Increase diverted energy</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134392"/>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357188</xdr:colOff>
      <xdr:row>2</xdr:row>
      <xdr:rowOff>38100</xdr:rowOff>
    </xdr:from>
    <xdr:to>
      <xdr:col>8</xdr:col>
      <xdr:colOff>324970</xdr:colOff>
      <xdr:row>32</xdr:row>
      <xdr:rowOff>302559</xdr:rowOff>
    </xdr:to>
    <xdr:sp macro="" textlink="">
      <xdr:nvSpPr>
        <xdr:cNvPr id="2" name="TextBox 1">
          <a:extLst>
            <a:ext uri="{FF2B5EF4-FFF2-40B4-BE49-F238E27FC236}">
              <a16:creationId xmlns:a16="http://schemas.microsoft.com/office/drawing/2014/main" id="{7C16C7FE-DB79-4E6D-8316-2C47EC139327}"/>
            </a:ext>
          </a:extLst>
        </xdr:cNvPr>
        <xdr:cNvSpPr txBox="1"/>
      </xdr:nvSpPr>
      <xdr:spPr>
        <a:xfrm>
          <a:off x="357188" y="396688"/>
          <a:ext cx="5122488" cy="55872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SAP 10</a:t>
          </a:r>
          <a:r>
            <a:rPr lang="en-GB" sz="1600" b="1" baseline="0"/>
            <a:t> New Technology (Appendix Q) Data entry and calculation procedure for Smart Hot Water Tank with PV diverter</a:t>
          </a:r>
        </a:p>
        <a:p>
          <a:endParaRPr lang="en-GB" sz="1100" b="1" baseline="0"/>
        </a:p>
        <a:p>
          <a:endParaRPr lang="en-GB" sz="1100" baseline="0"/>
        </a:p>
        <a:p>
          <a:r>
            <a:rPr lang="en-GB" sz="1100" b="1" u="sng" baseline="0"/>
            <a:t>Background</a:t>
          </a:r>
        </a:p>
        <a:p>
          <a:r>
            <a:rPr lang="en-GB" sz="1100">
              <a:solidFill>
                <a:schemeClr val="dk1"/>
              </a:solidFill>
              <a:effectLst/>
              <a:latin typeface="+mn-lt"/>
              <a:ea typeface="+mn-ea"/>
              <a:cs typeface="+mn-cs"/>
            </a:rPr>
            <a:t>This technology consists of</a:t>
          </a:r>
          <a:r>
            <a:rPr lang="en-GB" sz="1100" b="0" i="0" u="none" strike="noStrike" baseline="0">
              <a:solidFill>
                <a:schemeClr val="dk1"/>
              </a:solidFill>
              <a:latin typeface="+mn-lt"/>
              <a:ea typeface="+mn-ea"/>
              <a:cs typeface="+mn-cs"/>
            </a:rPr>
            <a:t> a hot water tank with a PV diverter and a control system which seeks to maximise solar input. </a:t>
          </a:r>
        </a:p>
        <a:p>
          <a:endParaRPr lang="en-GB" sz="1100" b="0" i="0" u="none" strike="noStrike" baseline="0">
            <a:solidFill>
              <a:schemeClr val="dk1"/>
            </a:solidFill>
            <a:latin typeface="+mn-lt"/>
            <a:ea typeface="+mn-ea"/>
            <a:cs typeface="+mn-cs"/>
          </a:endParaRPr>
        </a:p>
        <a:p>
          <a:r>
            <a:rPr lang="en-GB" sz="1100" b="0" i="0" u="none" strike="noStrike" baseline="0">
              <a:solidFill>
                <a:schemeClr val="dk1"/>
              </a:solidFill>
              <a:latin typeface="+mn-lt"/>
              <a:ea typeface="+mn-ea"/>
              <a:cs typeface="+mn-cs"/>
            </a:rPr>
            <a:t>The two main benefits of the smart hot water tank over conventional tanks are: </a:t>
          </a:r>
        </a:p>
        <a:p>
          <a:r>
            <a:rPr lang="en-GB" sz="1100" b="0" i="0" u="none" strike="noStrike" baseline="0">
              <a:solidFill>
                <a:schemeClr val="dk1"/>
              </a:solidFill>
              <a:latin typeface="+mn-lt"/>
              <a:ea typeface="+mn-ea"/>
              <a:cs typeface="+mn-cs"/>
            </a:rPr>
            <a:t>1. The smart hot water tank allows a user to choose the volume of the tank to be heated to the temperature set-point by the water heating system, ensuring the remainder is available for heating via the PV diverter. Thus the smart tank  can maintain a lower average state of charge due to a combination of its top-fill arrangement (maintaining stratification) and rapid rate of heat recovery. The smart tank also uses a siphoning arrangement to ensure that 100% of the tank’s capacity is available to a solar PV diverter. </a:t>
          </a:r>
        </a:p>
        <a:p>
          <a:r>
            <a:rPr lang="en-GB" sz="1100" b="0" i="0" u="none" strike="noStrike" baseline="0">
              <a:solidFill>
                <a:schemeClr val="dk1"/>
              </a:solidFill>
              <a:latin typeface="+mn-lt"/>
              <a:ea typeface="+mn-ea"/>
              <a:cs typeface="+mn-cs"/>
            </a:rPr>
            <a:t>2. The smart tank has reduced losses from not having to completely heat the tank as conventional tanks do. </a:t>
          </a:r>
          <a:endParaRPr lang="en-GB" sz="1100" baseline="0"/>
        </a:p>
        <a:p>
          <a:endParaRPr lang="en-GB" sz="1100" baseline="0"/>
        </a:p>
        <a:p>
          <a:r>
            <a:rPr lang="en-GB" sz="1100" b="1" u="sng" baseline="0"/>
            <a:t>Procedure</a:t>
          </a:r>
        </a:p>
        <a:p>
          <a:r>
            <a:rPr lang="en-GB" sz="1100" baseline="0">
              <a:solidFill>
                <a:sysClr val="windowText" lastClr="000000"/>
              </a:solidFill>
            </a:rPr>
            <a:t>1. Select the correct Smart Hot Water tank system on the 'Select System' tab. </a:t>
          </a:r>
        </a:p>
        <a:p>
          <a:endParaRPr lang="en-GB" sz="1100" baseline="0">
            <a:solidFill>
              <a:sysClr val="windowText" lastClr="000000"/>
            </a:solidFill>
          </a:endParaRPr>
        </a:p>
        <a:p>
          <a:r>
            <a:rPr lang="en-GB" sz="1100" baseline="0">
              <a:solidFill>
                <a:sysClr val="windowText" lastClr="000000"/>
              </a:solidFill>
            </a:rPr>
            <a:t>2. Complete steps in 'Dwelling data' tab using SAP Worksheet and installlation checklist. Only enter data in applicable yellow highlighted cells.</a:t>
          </a:r>
        </a:p>
        <a:p>
          <a:endParaRPr lang="en-GB" sz="1100" baseline="0">
            <a:solidFill>
              <a:sysClr val="windowText" lastClr="000000"/>
            </a:solidFill>
          </a:endParaRPr>
        </a:p>
        <a:p>
          <a:r>
            <a:rPr lang="en-GB" sz="1100" baseline="0">
              <a:solidFill>
                <a:sysClr val="windowText" lastClr="000000"/>
              </a:solidFill>
            </a:rPr>
            <a:t>3. Enter the calculation procedure results from 'SAP10 Savings' tab into SAP software.</a:t>
          </a:r>
        </a:p>
        <a:p>
          <a:endParaRPr lang="en-GB" sz="1100" baseline="0">
            <a:solidFill>
              <a:sysClr val="windowText" lastClr="000000"/>
            </a:solidFill>
          </a:endParaRPr>
        </a:p>
        <a:p>
          <a:r>
            <a:rPr lang="en-GB" sz="1100" baseline="0">
              <a:solidFill>
                <a:sysClr val="windowText" lastClr="000000"/>
              </a:solidFill>
            </a:rPr>
            <a:t>Calculation procedure results are not shown if an input error or inconsistency has been detected as detailed by the error messages at the base of the 'Dwelling data' tab. Please correct any errors or inconsistencies on the appropriate tab. </a:t>
          </a:r>
        </a:p>
      </xdr:txBody>
    </xdr:sp>
    <xdr:clientData/>
  </xdr:twoCellAnchor>
  <xdr:twoCellAnchor editAs="oneCell">
    <xdr:from>
      <xdr:col>7</xdr:col>
      <xdr:colOff>302559</xdr:colOff>
      <xdr:row>33</xdr:row>
      <xdr:rowOff>11207</xdr:rowOff>
    </xdr:from>
    <xdr:to>
      <xdr:col>8</xdr:col>
      <xdr:colOff>442332</xdr:colOff>
      <xdr:row>37</xdr:row>
      <xdr:rowOff>2161</xdr:rowOff>
    </xdr:to>
    <xdr:pic>
      <xdr:nvPicPr>
        <xdr:cNvPr id="14" name="Picture 4">
          <a:extLst>
            <a:ext uri="{FF2B5EF4-FFF2-40B4-BE49-F238E27FC236}">
              <a16:creationId xmlns:a16="http://schemas.microsoft.com/office/drawing/2014/main" id="{6A6F768C-3DAA-4F8C-8455-CE9DD1E4B404}"/>
            </a:ext>
          </a:extLst>
        </xdr:cNvPr>
        <xdr:cNvPicPr>
          <a:picLocks noChangeAspect="1"/>
        </xdr:cNvPicPr>
      </xdr:nvPicPr>
      <xdr:blipFill>
        <a:blip xmlns:r="http://schemas.openxmlformats.org/officeDocument/2006/relationships" r:embed="rId1"/>
        <a:stretch>
          <a:fillRect/>
        </a:stretch>
      </xdr:blipFill>
      <xdr:spPr>
        <a:xfrm>
          <a:off x="4812927" y="6023163"/>
          <a:ext cx="739848" cy="7434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34218</xdr:colOff>
      <xdr:row>38</xdr:row>
      <xdr:rowOff>125506</xdr:rowOff>
    </xdr:from>
    <xdr:to>
      <xdr:col>12</xdr:col>
      <xdr:colOff>145567</xdr:colOff>
      <xdr:row>42</xdr:row>
      <xdr:rowOff>106940</xdr:rowOff>
    </xdr:to>
    <xdr:pic>
      <xdr:nvPicPr>
        <xdr:cNvPr id="4" name="Picture 2">
          <a:extLst>
            <a:ext uri="{FF2B5EF4-FFF2-40B4-BE49-F238E27FC236}">
              <a16:creationId xmlns:a16="http://schemas.microsoft.com/office/drawing/2014/main" id="{806C2E87-96FE-49FE-9628-5717334E7323}"/>
            </a:ext>
          </a:extLst>
        </xdr:cNvPr>
        <xdr:cNvPicPr>
          <a:picLocks noChangeAspect="1"/>
        </xdr:cNvPicPr>
      </xdr:nvPicPr>
      <xdr:blipFill>
        <a:blip xmlns:r="http://schemas.openxmlformats.org/officeDocument/2006/relationships" r:embed="rId1"/>
        <a:stretch>
          <a:fillRect/>
        </a:stretch>
      </xdr:blipFill>
      <xdr:spPr>
        <a:xfrm>
          <a:off x="14385218" y="7164935"/>
          <a:ext cx="737278" cy="7071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3188074</xdr:colOff>
      <xdr:row>40</xdr:row>
      <xdr:rowOff>78440</xdr:rowOff>
    </xdr:from>
    <xdr:to>
      <xdr:col>5</xdr:col>
      <xdr:colOff>370512</xdr:colOff>
      <xdr:row>44</xdr:row>
      <xdr:rowOff>64674</xdr:rowOff>
    </xdr:to>
    <xdr:pic>
      <xdr:nvPicPr>
        <xdr:cNvPr id="5" name="Picture 3">
          <a:extLst>
            <a:ext uri="{FF2B5EF4-FFF2-40B4-BE49-F238E27FC236}">
              <a16:creationId xmlns:a16="http://schemas.microsoft.com/office/drawing/2014/main" id="{71F78200-E7C0-4671-9750-CF6B5E592C48}"/>
            </a:ext>
          </a:extLst>
        </xdr:cNvPr>
        <xdr:cNvPicPr>
          <a:picLocks noChangeAspect="1"/>
        </xdr:cNvPicPr>
      </xdr:nvPicPr>
      <xdr:blipFill>
        <a:blip xmlns:r="http://schemas.openxmlformats.org/officeDocument/2006/relationships" r:embed="rId1"/>
        <a:stretch>
          <a:fillRect/>
        </a:stretch>
      </xdr:blipFill>
      <xdr:spPr>
        <a:xfrm>
          <a:off x="10197354" y="9418544"/>
          <a:ext cx="739848" cy="7434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98051</xdr:colOff>
      <xdr:row>1</xdr:row>
      <xdr:rowOff>69140</xdr:rowOff>
    </xdr:from>
    <xdr:to>
      <xdr:col>9</xdr:col>
      <xdr:colOff>455599</xdr:colOff>
      <xdr:row>12</xdr:row>
      <xdr:rowOff>132401</xdr:rowOff>
    </xdr:to>
    <xdr:pic>
      <xdr:nvPicPr>
        <xdr:cNvPr id="2" name="Picture 1">
          <a:extLst>
            <a:ext uri="{FF2B5EF4-FFF2-40B4-BE49-F238E27FC236}">
              <a16:creationId xmlns:a16="http://schemas.microsoft.com/office/drawing/2014/main" id="{CF8E4B84-9D27-4B63-A40B-28866A5C0A4D}"/>
            </a:ext>
          </a:extLst>
        </xdr:cNvPr>
        <xdr:cNvPicPr>
          <a:picLocks noChangeAspect="1"/>
        </xdr:cNvPicPr>
      </xdr:nvPicPr>
      <xdr:blipFill>
        <a:blip xmlns:r="http://schemas.openxmlformats.org/officeDocument/2006/relationships" r:embed="rId1"/>
        <a:stretch>
          <a:fillRect/>
        </a:stretch>
      </xdr:blipFill>
      <xdr:spPr>
        <a:xfrm>
          <a:off x="4388111" y="252020"/>
          <a:ext cx="3649388" cy="2212101"/>
        </a:xfrm>
        <a:prstGeom prst="rect">
          <a:avLst/>
        </a:prstGeom>
      </xdr:spPr>
    </xdr:pic>
    <xdr:clientData/>
  </xdr:twoCellAnchor>
  <xdr:twoCellAnchor editAs="oneCell">
    <xdr:from>
      <xdr:col>4</xdr:col>
      <xdr:colOff>79352</xdr:colOff>
      <xdr:row>15</xdr:row>
      <xdr:rowOff>92502</xdr:rowOff>
    </xdr:from>
    <xdr:to>
      <xdr:col>9</xdr:col>
      <xdr:colOff>516086</xdr:colOff>
      <xdr:row>27</xdr:row>
      <xdr:rowOff>154413</xdr:rowOff>
    </xdr:to>
    <xdr:pic>
      <xdr:nvPicPr>
        <xdr:cNvPr id="3" name="Picture 2">
          <a:extLst>
            <a:ext uri="{FF2B5EF4-FFF2-40B4-BE49-F238E27FC236}">
              <a16:creationId xmlns:a16="http://schemas.microsoft.com/office/drawing/2014/main" id="{B2825F84-71E4-455A-A79B-CE167A361201}"/>
            </a:ext>
          </a:extLst>
        </xdr:cNvPr>
        <xdr:cNvPicPr>
          <a:picLocks noChangeAspect="1"/>
        </xdr:cNvPicPr>
      </xdr:nvPicPr>
      <xdr:blipFill>
        <a:blip xmlns:r="http://schemas.openxmlformats.org/officeDocument/2006/relationships" r:embed="rId2"/>
        <a:stretch>
          <a:fillRect/>
        </a:stretch>
      </xdr:blipFill>
      <xdr:spPr>
        <a:xfrm>
          <a:off x="3475015" y="2878565"/>
          <a:ext cx="3718093" cy="2290762"/>
        </a:xfrm>
        <a:prstGeom prst="rect">
          <a:avLst/>
        </a:prstGeom>
      </xdr:spPr>
    </xdr:pic>
    <xdr:clientData/>
  </xdr:twoCellAnchor>
  <xdr:twoCellAnchor>
    <xdr:from>
      <xdr:col>5</xdr:col>
      <xdr:colOff>47767</xdr:colOff>
      <xdr:row>2</xdr:row>
      <xdr:rowOff>13648</xdr:rowOff>
    </xdr:from>
    <xdr:to>
      <xdr:col>7</xdr:col>
      <xdr:colOff>47767</xdr:colOff>
      <xdr:row>3</xdr:row>
      <xdr:rowOff>68239</xdr:rowOff>
    </xdr:to>
    <xdr:sp macro="" textlink="">
      <xdr:nvSpPr>
        <xdr:cNvPr id="4" name="Rectangle: Rounded Corners 3">
          <a:extLst>
            <a:ext uri="{FF2B5EF4-FFF2-40B4-BE49-F238E27FC236}">
              <a16:creationId xmlns:a16="http://schemas.microsoft.com/office/drawing/2014/main" id="{51D89879-5676-4271-932F-397B9F96B40F}"/>
            </a:ext>
          </a:extLst>
        </xdr:cNvPr>
        <xdr:cNvSpPr/>
      </xdr:nvSpPr>
      <xdr:spPr>
        <a:xfrm>
          <a:off x="4054618" y="348611"/>
          <a:ext cx="1447800" cy="211754"/>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7</xdr:col>
      <xdr:colOff>136476</xdr:colOff>
      <xdr:row>1</xdr:row>
      <xdr:rowOff>308162</xdr:rowOff>
    </xdr:from>
    <xdr:to>
      <xdr:col>8</xdr:col>
      <xdr:colOff>61415</xdr:colOff>
      <xdr:row>3</xdr:row>
      <xdr:rowOff>68239</xdr:rowOff>
    </xdr:to>
    <xdr:sp macro="" textlink="">
      <xdr:nvSpPr>
        <xdr:cNvPr id="5" name="Rectangle: Rounded Corners 4">
          <a:extLst>
            <a:ext uri="{FF2B5EF4-FFF2-40B4-BE49-F238E27FC236}">
              <a16:creationId xmlns:a16="http://schemas.microsoft.com/office/drawing/2014/main" id="{FAD392E2-4719-4064-BD86-CD6F51EB3C61}"/>
            </a:ext>
          </a:extLst>
        </xdr:cNvPr>
        <xdr:cNvSpPr/>
      </xdr:nvSpPr>
      <xdr:spPr>
        <a:xfrm>
          <a:off x="5756227" y="487456"/>
          <a:ext cx="574880" cy="275548"/>
        </a:xfrm>
        <a:prstGeom prst="roundRect">
          <a:avLst>
            <a:gd name="adj" fmla="val 21930"/>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140126</xdr:colOff>
      <xdr:row>4</xdr:row>
      <xdr:rowOff>130321</xdr:rowOff>
    </xdr:from>
    <xdr:to>
      <xdr:col>7</xdr:col>
      <xdr:colOff>106006</xdr:colOff>
      <xdr:row>6</xdr:row>
      <xdr:rowOff>31231</xdr:rowOff>
    </xdr:to>
    <xdr:sp macro="" textlink="">
      <xdr:nvSpPr>
        <xdr:cNvPr id="6" name="Rectangle: Rounded Corners 5">
          <a:extLst>
            <a:ext uri="{FF2B5EF4-FFF2-40B4-BE49-F238E27FC236}">
              <a16:creationId xmlns:a16="http://schemas.microsoft.com/office/drawing/2014/main" id="{20E2FF11-25DB-4118-B1D9-EB5411EB0EB0}"/>
            </a:ext>
          </a:extLst>
        </xdr:cNvPr>
        <xdr:cNvSpPr/>
      </xdr:nvSpPr>
      <xdr:spPr>
        <a:xfrm>
          <a:off x="4250164" y="854221"/>
          <a:ext cx="1470830" cy="262860"/>
        </a:xfrm>
        <a:prstGeom prst="roundRect">
          <a:avLst>
            <a:gd name="adj" fmla="val 20922"/>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42365</xdr:colOff>
      <xdr:row>17</xdr:row>
      <xdr:rowOff>15354</xdr:rowOff>
    </xdr:from>
    <xdr:to>
      <xdr:col>7</xdr:col>
      <xdr:colOff>42365</xdr:colOff>
      <xdr:row>18</xdr:row>
      <xdr:rowOff>87147</xdr:rowOff>
    </xdr:to>
    <xdr:sp macro="" textlink="">
      <xdr:nvSpPr>
        <xdr:cNvPr id="7" name="Rectangle: Rounded Corners 6">
          <a:extLst>
            <a:ext uri="{FF2B5EF4-FFF2-40B4-BE49-F238E27FC236}">
              <a16:creationId xmlns:a16="http://schemas.microsoft.com/office/drawing/2014/main" id="{D55DE2A6-6F63-4DFF-AAC3-A62C43863642}"/>
            </a:ext>
          </a:extLst>
        </xdr:cNvPr>
        <xdr:cNvSpPr/>
      </xdr:nvSpPr>
      <xdr:spPr>
        <a:xfrm>
          <a:off x="4152403" y="3091929"/>
          <a:ext cx="1504950" cy="252768"/>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8</xdr:col>
      <xdr:colOff>180119</xdr:colOff>
      <xdr:row>17</xdr:row>
      <xdr:rowOff>20116</xdr:rowOff>
    </xdr:from>
    <xdr:to>
      <xdr:col>9</xdr:col>
      <xdr:colOff>166474</xdr:colOff>
      <xdr:row>18</xdr:row>
      <xdr:rowOff>98734</xdr:rowOff>
    </xdr:to>
    <xdr:sp macro="" textlink="">
      <xdr:nvSpPr>
        <xdr:cNvPr id="8" name="Rectangle: Rounded Corners 7">
          <a:extLst>
            <a:ext uri="{FF2B5EF4-FFF2-40B4-BE49-F238E27FC236}">
              <a16:creationId xmlns:a16="http://schemas.microsoft.com/office/drawing/2014/main" id="{44F8BD40-3BC3-4F49-AB67-DB399E108981}"/>
            </a:ext>
          </a:extLst>
        </xdr:cNvPr>
        <xdr:cNvSpPr/>
      </xdr:nvSpPr>
      <xdr:spPr>
        <a:xfrm>
          <a:off x="6442807" y="3096691"/>
          <a:ext cx="634055" cy="259593"/>
        </a:xfrm>
        <a:prstGeom prst="roundRect">
          <a:avLst>
            <a:gd name="adj" fmla="val 21930"/>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361662</xdr:colOff>
      <xdr:row>21</xdr:row>
      <xdr:rowOff>96786</xdr:rowOff>
    </xdr:from>
    <xdr:to>
      <xdr:col>6</xdr:col>
      <xdr:colOff>1137</xdr:colOff>
      <xdr:row>22</xdr:row>
      <xdr:rowOff>170484</xdr:rowOff>
    </xdr:to>
    <xdr:sp macro="" textlink="">
      <xdr:nvSpPr>
        <xdr:cNvPr id="10" name="Rectangle: Rounded Corners 9">
          <a:extLst>
            <a:ext uri="{FF2B5EF4-FFF2-40B4-BE49-F238E27FC236}">
              <a16:creationId xmlns:a16="http://schemas.microsoft.com/office/drawing/2014/main" id="{7257BF13-0F97-4188-A387-68B35BB54D3E}"/>
            </a:ext>
          </a:extLst>
        </xdr:cNvPr>
        <xdr:cNvSpPr/>
      </xdr:nvSpPr>
      <xdr:spPr>
        <a:xfrm>
          <a:off x="5268942" y="4074426"/>
          <a:ext cx="462435" cy="256578"/>
        </a:xfrm>
        <a:prstGeom prst="roundRect">
          <a:avLst>
            <a:gd name="adj" fmla="val 21930"/>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982639</xdr:colOff>
      <xdr:row>3</xdr:row>
      <xdr:rowOff>40944</xdr:rowOff>
    </xdr:from>
    <xdr:to>
      <xdr:col>4</xdr:col>
      <xdr:colOff>614149</xdr:colOff>
      <xdr:row>6</xdr:row>
      <xdr:rowOff>0</xdr:rowOff>
    </xdr:to>
    <xdr:cxnSp macro="">
      <xdr:nvCxnSpPr>
        <xdr:cNvPr id="11" name="Straight Arrow Connector 10">
          <a:extLst>
            <a:ext uri="{FF2B5EF4-FFF2-40B4-BE49-F238E27FC236}">
              <a16:creationId xmlns:a16="http://schemas.microsoft.com/office/drawing/2014/main" id="{61181803-593D-4FBB-BAC3-800497E3DA93}"/>
            </a:ext>
          </a:extLst>
        </xdr:cNvPr>
        <xdr:cNvCxnSpPr/>
      </xdr:nvCxnSpPr>
      <xdr:spPr>
        <a:xfrm flipV="1">
          <a:off x="2827314" y="531482"/>
          <a:ext cx="1176148" cy="44959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812042</xdr:colOff>
      <xdr:row>3</xdr:row>
      <xdr:rowOff>88711</xdr:rowOff>
    </xdr:from>
    <xdr:to>
      <xdr:col>7</xdr:col>
      <xdr:colOff>170597</xdr:colOff>
      <xdr:row>7</xdr:row>
      <xdr:rowOff>88710</xdr:rowOff>
    </xdr:to>
    <xdr:cxnSp macro="">
      <xdr:nvCxnSpPr>
        <xdr:cNvPr id="12" name="Straight Arrow Connector 11">
          <a:extLst>
            <a:ext uri="{FF2B5EF4-FFF2-40B4-BE49-F238E27FC236}">
              <a16:creationId xmlns:a16="http://schemas.microsoft.com/office/drawing/2014/main" id="{AEBF0574-B72B-47F8-B58F-894D9DF6FFD3}"/>
            </a:ext>
          </a:extLst>
        </xdr:cNvPr>
        <xdr:cNvCxnSpPr/>
      </xdr:nvCxnSpPr>
      <xdr:spPr>
        <a:xfrm flipV="1">
          <a:off x="2745617" y="631636"/>
          <a:ext cx="3039968" cy="7238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975815</xdr:colOff>
      <xdr:row>15</xdr:row>
      <xdr:rowOff>88711</xdr:rowOff>
    </xdr:from>
    <xdr:to>
      <xdr:col>5</xdr:col>
      <xdr:colOff>54591</xdr:colOff>
      <xdr:row>16</xdr:row>
      <xdr:rowOff>109182</xdr:rowOff>
    </xdr:to>
    <xdr:cxnSp macro="">
      <xdr:nvCxnSpPr>
        <xdr:cNvPr id="15" name="Straight Arrow Connector 14">
          <a:extLst>
            <a:ext uri="{FF2B5EF4-FFF2-40B4-BE49-F238E27FC236}">
              <a16:creationId xmlns:a16="http://schemas.microsoft.com/office/drawing/2014/main" id="{46C19B68-AF5F-4086-81BB-44BFFAFAA2D1}"/>
            </a:ext>
          </a:extLst>
        </xdr:cNvPr>
        <xdr:cNvCxnSpPr/>
      </xdr:nvCxnSpPr>
      <xdr:spPr>
        <a:xfrm>
          <a:off x="2826840" y="2523937"/>
          <a:ext cx="1233014" cy="1776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934872</xdr:colOff>
      <xdr:row>16</xdr:row>
      <xdr:rowOff>75064</xdr:rowOff>
    </xdr:from>
    <xdr:to>
      <xdr:col>8</xdr:col>
      <xdr:colOff>122830</xdr:colOff>
      <xdr:row>17</xdr:row>
      <xdr:rowOff>68239</xdr:rowOff>
    </xdr:to>
    <xdr:cxnSp macro="">
      <xdr:nvCxnSpPr>
        <xdr:cNvPr id="16" name="Straight Arrow Connector 15">
          <a:extLst>
            <a:ext uri="{FF2B5EF4-FFF2-40B4-BE49-F238E27FC236}">
              <a16:creationId xmlns:a16="http://schemas.microsoft.com/office/drawing/2014/main" id="{DAAFDBF8-659D-4A7A-8DC4-2EF3E948038C}"/>
            </a:ext>
          </a:extLst>
        </xdr:cNvPr>
        <xdr:cNvCxnSpPr/>
      </xdr:nvCxnSpPr>
      <xdr:spPr>
        <a:xfrm>
          <a:off x="2830347" y="2665864"/>
          <a:ext cx="3353559" cy="16145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812041</xdr:colOff>
      <xdr:row>18</xdr:row>
      <xdr:rowOff>109184</xdr:rowOff>
    </xdr:from>
    <xdr:to>
      <xdr:col>5</xdr:col>
      <xdr:colOff>539086</xdr:colOff>
      <xdr:row>22</xdr:row>
      <xdr:rowOff>88710</xdr:rowOff>
    </xdr:to>
    <xdr:cxnSp macro="">
      <xdr:nvCxnSpPr>
        <xdr:cNvPr id="18" name="Straight Arrow Connector 17">
          <a:extLst>
            <a:ext uri="{FF2B5EF4-FFF2-40B4-BE49-F238E27FC236}">
              <a16:creationId xmlns:a16="http://schemas.microsoft.com/office/drawing/2014/main" id="{040D4535-9DFA-43E8-8186-FCA994005DC2}"/>
            </a:ext>
          </a:extLst>
        </xdr:cNvPr>
        <xdr:cNvCxnSpPr/>
      </xdr:nvCxnSpPr>
      <xdr:spPr>
        <a:xfrm>
          <a:off x="2709104" y="3025422"/>
          <a:ext cx="1833658" cy="6177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8</xdr:col>
      <xdr:colOff>621927</xdr:colOff>
      <xdr:row>29</xdr:row>
      <xdr:rowOff>106455</xdr:rowOff>
    </xdr:from>
    <xdr:to>
      <xdr:col>10</xdr:col>
      <xdr:colOff>142574</xdr:colOff>
      <xdr:row>33</xdr:row>
      <xdr:rowOff>87884</xdr:rowOff>
    </xdr:to>
    <xdr:pic>
      <xdr:nvPicPr>
        <xdr:cNvPr id="21" name="Picture 19">
          <a:extLst>
            <a:ext uri="{FF2B5EF4-FFF2-40B4-BE49-F238E27FC236}">
              <a16:creationId xmlns:a16="http://schemas.microsoft.com/office/drawing/2014/main" id="{5913CC8F-2504-468E-81B0-A411D83802F8}"/>
            </a:ext>
          </a:extLst>
        </xdr:cNvPr>
        <xdr:cNvPicPr>
          <a:picLocks noChangeAspect="1"/>
        </xdr:cNvPicPr>
      </xdr:nvPicPr>
      <xdr:blipFill>
        <a:blip xmlns:r="http://schemas.openxmlformats.org/officeDocument/2006/relationships" r:embed="rId3"/>
        <a:stretch>
          <a:fillRect/>
        </a:stretch>
      </xdr:blipFill>
      <xdr:spPr>
        <a:xfrm>
          <a:off x="7916956" y="5462867"/>
          <a:ext cx="739848" cy="743429"/>
        </a:xfrm>
        <a:prstGeom prst="rect">
          <a:avLst/>
        </a:prstGeom>
      </xdr:spPr>
    </xdr:pic>
    <xdr:clientData/>
  </xdr:twoCellAnchor>
  <xdr:twoCellAnchor>
    <xdr:from>
      <xdr:col>5</xdr:col>
      <xdr:colOff>150604</xdr:colOff>
      <xdr:row>6</xdr:row>
      <xdr:rowOff>46501</xdr:rowOff>
    </xdr:from>
    <xdr:to>
      <xdr:col>7</xdr:col>
      <xdr:colOff>116484</xdr:colOff>
      <xdr:row>7</xdr:row>
      <xdr:rowOff>130291</xdr:rowOff>
    </xdr:to>
    <xdr:sp macro="" textlink="">
      <xdr:nvSpPr>
        <xdr:cNvPr id="24" name="Rectangle: Rounded Corners 23">
          <a:extLst>
            <a:ext uri="{FF2B5EF4-FFF2-40B4-BE49-F238E27FC236}">
              <a16:creationId xmlns:a16="http://schemas.microsoft.com/office/drawing/2014/main" id="{C6058675-6474-4954-BD68-3A12B5120A4A}"/>
            </a:ext>
          </a:extLst>
        </xdr:cNvPr>
        <xdr:cNvSpPr/>
      </xdr:nvSpPr>
      <xdr:spPr>
        <a:xfrm>
          <a:off x="5057884" y="1288561"/>
          <a:ext cx="1406060" cy="266670"/>
        </a:xfrm>
        <a:prstGeom prst="roundRect">
          <a:avLst>
            <a:gd name="adj" fmla="val 20922"/>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791570</xdr:colOff>
      <xdr:row>5</xdr:row>
      <xdr:rowOff>68580</xdr:rowOff>
    </xdr:from>
    <xdr:to>
      <xdr:col>6</xdr:col>
      <xdr:colOff>190500</xdr:colOff>
      <xdr:row>9</xdr:row>
      <xdr:rowOff>122830</xdr:rowOff>
    </xdr:to>
    <xdr:cxnSp macro="">
      <xdr:nvCxnSpPr>
        <xdr:cNvPr id="14" name="Straight Arrow Connector 13">
          <a:extLst>
            <a:ext uri="{FF2B5EF4-FFF2-40B4-BE49-F238E27FC236}">
              <a16:creationId xmlns:a16="http://schemas.microsoft.com/office/drawing/2014/main" id="{AEBCD402-EA0A-4BA7-9D69-3E76970F9288}"/>
            </a:ext>
          </a:extLst>
        </xdr:cNvPr>
        <xdr:cNvCxnSpPr/>
      </xdr:nvCxnSpPr>
      <xdr:spPr>
        <a:xfrm flipV="1">
          <a:off x="3649070" y="1127760"/>
          <a:ext cx="2271670" cy="778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846161</xdr:colOff>
      <xdr:row>7</xdr:row>
      <xdr:rowOff>76200</xdr:rowOff>
    </xdr:from>
    <xdr:to>
      <xdr:col>5</xdr:col>
      <xdr:colOff>457200</xdr:colOff>
      <xdr:row>10</xdr:row>
      <xdr:rowOff>103156</xdr:rowOff>
    </xdr:to>
    <xdr:cxnSp macro="">
      <xdr:nvCxnSpPr>
        <xdr:cNvPr id="17" name="Straight Arrow Connector 16">
          <a:extLst>
            <a:ext uri="{FF2B5EF4-FFF2-40B4-BE49-F238E27FC236}">
              <a16:creationId xmlns:a16="http://schemas.microsoft.com/office/drawing/2014/main" id="{4A76958C-2808-486F-8AF7-4310E624C35D}"/>
            </a:ext>
          </a:extLst>
        </xdr:cNvPr>
        <xdr:cNvCxnSpPr/>
      </xdr:nvCxnSpPr>
      <xdr:spPr>
        <a:xfrm flipV="1">
          <a:off x="3703661" y="1501140"/>
          <a:ext cx="1660819" cy="5679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806810</xdr:colOff>
      <xdr:row>7</xdr:row>
      <xdr:rowOff>68580</xdr:rowOff>
    </xdr:from>
    <xdr:to>
      <xdr:col>6</xdr:col>
      <xdr:colOff>205740</xdr:colOff>
      <xdr:row>11</xdr:row>
      <xdr:rowOff>122830</xdr:rowOff>
    </xdr:to>
    <xdr:cxnSp macro="">
      <xdr:nvCxnSpPr>
        <xdr:cNvPr id="23" name="Straight Arrow Connector 22">
          <a:extLst>
            <a:ext uri="{FF2B5EF4-FFF2-40B4-BE49-F238E27FC236}">
              <a16:creationId xmlns:a16="http://schemas.microsoft.com/office/drawing/2014/main" id="{F385CE47-0057-4A0B-953D-F41F67FFAB8B}"/>
            </a:ext>
          </a:extLst>
        </xdr:cNvPr>
        <xdr:cNvCxnSpPr/>
      </xdr:nvCxnSpPr>
      <xdr:spPr>
        <a:xfrm flipV="1">
          <a:off x="3664310" y="1493520"/>
          <a:ext cx="2271670" cy="778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812042</xdr:colOff>
      <xdr:row>6</xdr:row>
      <xdr:rowOff>34119</xdr:rowOff>
    </xdr:from>
    <xdr:to>
      <xdr:col>5</xdr:col>
      <xdr:colOff>272955</xdr:colOff>
      <xdr:row>8</xdr:row>
      <xdr:rowOff>68239</xdr:rowOff>
    </xdr:to>
    <xdr:cxnSp macro="">
      <xdr:nvCxnSpPr>
        <xdr:cNvPr id="13" name="Straight Arrow Connector 12">
          <a:extLst>
            <a:ext uri="{FF2B5EF4-FFF2-40B4-BE49-F238E27FC236}">
              <a16:creationId xmlns:a16="http://schemas.microsoft.com/office/drawing/2014/main" id="{02312496-7BFF-4A28-9A90-6FA2DD1C4EE1}"/>
            </a:ext>
          </a:extLst>
        </xdr:cNvPr>
        <xdr:cNvCxnSpPr/>
      </xdr:nvCxnSpPr>
      <xdr:spPr>
        <a:xfrm flipV="1">
          <a:off x="2709105" y="1016782"/>
          <a:ext cx="1567526" cy="3484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25</xdr:col>
      <xdr:colOff>403003</xdr:colOff>
      <xdr:row>9</xdr:row>
      <xdr:rowOff>46843</xdr:rowOff>
    </xdr:from>
    <xdr:to>
      <xdr:col>28</xdr:col>
      <xdr:colOff>319005</xdr:colOff>
      <xdr:row>12</xdr:row>
      <xdr:rowOff>45134</xdr:rowOff>
    </xdr:to>
    <xdr:pic>
      <xdr:nvPicPr>
        <xdr:cNvPr id="2" name="Picture 1">
          <a:extLst>
            <a:ext uri="{FF2B5EF4-FFF2-40B4-BE49-F238E27FC236}">
              <a16:creationId xmlns:a16="http://schemas.microsoft.com/office/drawing/2014/main" id="{50CD0495-DA7E-4E6D-9AE1-2532069134E3}"/>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9461" t="13130" b="67499"/>
        <a:stretch/>
      </xdr:blipFill>
      <xdr:spPr bwMode="auto">
        <a:xfrm>
          <a:off x="19573019" y="1634661"/>
          <a:ext cx="1928634" cy="5269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464549</xdr:colOff>
      <xdr:row>0</xdr:row>
      <xdr:rowOff>0</xdr:rowOff>
    </xdr:from>
    <xdr:to>
      <xdr:col>24</xdr:col>
      <xdr:colOff>420870</xdr:colOff>
      <xdr:row>12</xdr:row>
      <xdr:rowOff>138929</xdr:rowOff>
    </xdr:to>
    <xdr:graphicFrame macro="">
      <xdr:nvGraphicFramePr>
        <xdr:cNvPr id="3" name="Chart 2">
          <a:extLst>
            <a:ext uri="{FF2B5EF4-FFF2-40B4-BE49-F238E27FC236}">
              <a16:creationId xmlns:a16="http://schemas.microsoft.com/office/drawing/2014/main" id="{C4013EEF-B435-479A-944E-65545A064C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290502</xdr:colOff>
      <xdr:row>0</xdr:row>
      <xdr:rowOff>14288</xdr:rowOff>
    </xdr:from>
    <xdr:to>
      <xdr:col>20</xdr:col>
      <xdr:colOff>407553</xdr:colOff>
      <xdr:row>34</xdr:row>
      <xdr:rowOff>171543</xdr:rowOff>
    </xdr:to>
    <xdr:grpSp>
      <xdr:nvGrpSpPr>
        <xdr:cNvPr id="5" name="Group 4" descr="Checklist">
          <a:extLst>
            <a:ext uri="{FF2B5EF4-FFF2-40B4-BE49-F238E27FC236}">
              <a16:creationId xmlns:a16="http://schemas.microsoft.com/office/drawing/2014/main" id="{FA94B2C3-B471-45F2-8ACF-B5AD2636A74E}"/>
            </a:ext>
          </a:extLst>
        </xdr:cNvPr>
        <xdr:cNvGrpSpPr/>
      </xdr:nvGrpSpPr>
      <xdr:grpSpPr>
        <a:xfrm>
          <a:off x="290502" y="14288"/>
          <a:ext cx="12368816" cy="6507255"/>
          <a:chOff x="4608646" y="19050"/>
          <a:chExt cx="13064357" cy="6309803"/>
        </a:xfrm>
      </xdr:grpSpPr>
      <xdr:pic>
        <xdr:nvPicPr>
          <xdr:cNvPr id="2" name="Picture 1">
            <a:extLst>
              <a:ext uri="{FF2B5EF4-FFF2-40B4-BE49-F238E27FC236}">
                <a16:creationId xmlns:a16="http://schemas.microsoft.com/office/drawing/2014/main" id="{7A46A170-B881-4920-8723-386E8C3CF6B2}"/>
              </a:ext>
            </a:extLst>
          </xdr:cNvPr>
          <xdr:cNvPicPr>
            <a:picLocks noChangeAspect="1"/>
          </xdr:cNvPicPr>
        </xdr:nvPicPr>
        <xdr:blipFill>
          <a:blip xmlns:r="http://schemas.openxmlformats.org/officeDocument/2006/relationships" r:embed="rId1"/>
          <a:stretch>
            <a:fillRect/>
          </a:stretch>
        </xdr:blipFill>
        <xdr:spPr>
          <a:xfrm>
            <a:off x="13312269" y="19050"/>
            <a:ext cx="4360734" cy="3485595"/>
          </a:xfrm>
          <a:prstGeom prst="rect">
            <a:avLst/>
          </a:prstGeom>
        </xdr:spPr>
      </xdr:pic>
      <xdr:pic>
        <xdr:nvPicPr>
          <xdr:cNvPr id="3" name="Picture 2">
            <a:extLst>
              <a:ext uri="{FF2B5EF4-FFF2-40B4-BE49-F238E27FC236}">
                <a16:creationId xmlns:a16="http://schemas.microsoft.com/office/drawing/2014/main" id="{334716E0-7761-469B-946F-3721238B480B}"/>
              </a:ext>
            </a:extLst>
          </xdr:cNvPr>
          <xdr:cNvPicPr>
            <a:picLocks noChangeAspect="1"/>
          </xdr:cNvPicPr>
        </xdr:nvPicPr>
        <xdr:blipFill>
          <a:blip xmlns:r="http://schemas.openxmlformats.org/officeDocument/2006/relationships" r:embed="rId2"/>
          <a:stretch>
            <a:fillRect/>
          </a:stretch>
        </xdr:blipFill>
        <xdr:spPr>
          <a:xfrm>
            <a:off x="4608646" y="46901"/>
            <a:ext cx="4423318" cy="6281952"/>
          </a:xfrm>
          <a:prstGeom prst="rect">
            <a:avLst/>
          </a:prstGeom>
        </xdr:spPr>
      </xdr:pic>
      <xdr:pic>
        <xdr:nvPicPr>
          <xdr:cNvPr id="4" name="Picture 3">
            <a:extLst>
              <a:ext uri="{FF2B5EF4-FFF2-40B4-BE49-F238E27FC236}">
                <a16:creationId xmlns:a16="http://schemas.microsoft.com/office/drawing/2014/main" id="{1C01E657-0AFB-4E70-92ED-B9F14CE95A26}"/>
              </a:ext>
            </a:extLst>
          </xdr:cNvPr>
          <xdr:cNvPicPr>
            <a:picLocks noChangeAspect="1"/>
          </xdr:cNvPicPr>
        </xdr:nvPicPr>
        <xdr:blipFill>
          <a:blip xmlns:r="http://schemas.openxmlformats.org/officeDocument/2006/relationships" r:embed="rId3"/>
          <a:stretch>
            <a:fillRect/>
          </a:stretch>
        </xdr:blipFill>
        <xdr:spPr>
          <a:xfrm>
            <a:off x="8739188" y="28575"/>
            <a:ext cx="4499184" cy="6257925"/>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1424652</xdr:colOff>
      <xdr:row>32</xdr:row>
      <xdr:rowOff>176892</xdr:rowOff>
    </xdr:from>
    <xdr:to>
      <xdr:col>7</xdr:col>
      <xdr:colOff>50167</xdr:colOff>
      <xdr:row>35</xdr:row>
      <xdr:rowOff>103031</xdr:rowOff>
    </xdr:to>
    <xdr:pic>
      <xdr:nvPicPr>
        <xdr:cNvPr id="4" name="Picture 4">
          <a:extLst>
            <a:ext uri="{FF2B5EF4-FFF2-40B4-BE49-F238E27FC236}">
              <a16:creationId xmlns:a16="http://schemas.microsoft.com/office/drawing/2014/main" id="{9E118561-6577-4A8A-818A-D0DA1E38A621}"/>
            </a:ext>
          </a:extLst>
        </xdr:cNvPr>
        <xdr:cNvPicPr>
          <a:picLocks noChangeAspect="1"/>
        </xdr:cNvPicPr>
      </xdr:nvPicPr>
      <xdr:blipFill>
        <a:blip xmlns:r="http://schemas.openxmlformats.org/officeDocument/2006/relationships" r:embed="rId1"/>
        <a:stretch>
          <a:fillRect/>
        </a:stretch>
      </xdr:blipFill>
      <xdr:spPr>
        <a:xfrm>
          <a:off x="10323723" y="10770053"/>
          <a:ext cx="1210032" cy="10953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54E6265-497F-492D-B490-5F7F828F8563}" name="Smart_HW_entries" displayName="Smart_HW_entries" ref="B6:K42" totalsRowShown="0" headerRowDxfId="103" dataDxfId="101" headerRowBorderDxfId="102" tableBorderDxfId="100" totalsRowBorderDxfId="99">
  <autoFilter ref="B6:K42" xr:uid="{DB10406B-3E0C-4643-972B-308E6B6BA38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173CB1A-67D3-4AFC-B5CE-605AE9E5D6FC}" name="Index no." dataDxfId="98"/>
    <tableColumn id="2" xr3:uid="{7DAD8DE5-95E5-406D-B2F2-62E9A5B445EA}" name="Brand Name" dataDxfId="97"/>
    <tableColumn id="3" xr3:uid="{671F4FD7-D19F-4013-868E-DAC9C01D13C7}" name="Manufacturer" dataDxfId="96"/>
    <tableColumn id="4" xr3:uid="{10C7EF4D-42F8-4114-842E-AE230056E495}" name="Model Name" dataDxfId="95"/>
    <tableColumn id="5" xr3:uid="{E5036239-90BF-4437-BFE6-D7F7F9FE306B}" name="Model Qualifier" dataDxfId="94"/>
    <tableColumn id="6" xr3:uid="{39253B00-0572-45B1-844F-296226C67DF7}" name="First year of manufacture" dataDxfId="93"/>
    <tableColumn id="7" xr3:uid="{1A3D7D1B-F480-4252-9B3E-4DCD573490BD}" name="Tank Size (L)" dataDxfId="92"/>
    <tableColumn id="8" xr3:uid="{837FC716-836E-4752-879D-C3D45980B8BB}" name="Tank Lossess (kWh/day)" dataDxfId="91"/>
    <tableColumn id="10" xr3:uid="{7E414CEB-FBE3-4BFF-AA25-71BBE6607101}" name="RdSAP Tank size" dataDxfId="90"/>
    <tableColumn id="11" xr3:uid="{1FB47329-CE60-4561-93AE-CC31C172D066}" name="RdSAP Tank Factory Insulation" dataDxfId="8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C9C9C16-4F26-48E4-B105-94EEAF5072D0}" name="Mix_divert_ratio" displayName="Mix_divert_ratio" ref="J68:O74" totalsRowShown="0" headerRowDxfId="17" headerRowBorderDxfId="16">
  <autoFilter ref="J68:O74" xr:uid="{4F64A7A5-09C8-4315-8FAA-7732F6715E90}"/>
  <tableColumns count="6">
    <tableColumn id="1" xr3:uid="{1D79C41A-C694-4298-BC9C-8A722390FE82}" name="Mixergy" dataDxfId="15" dataCellStyle="Normal 2"/>
    <tableColumn id="2" xr3:uid="{488F499E-0202-4232-9D51-BB08CFC88635}" name="/" dataDxfId="14" dataCellStyle="Normal 2"/>
    <tableColumn id="3" xr3:uid="{515513EB-63A3-4310-BE5A-F6688B75C067}" name="/2" dataDxfId="13" dataCellStyle="Normal 2"/>
    <tableColumn id="4" xr3:uid="{2C0CF1EA-6F7E-4AB3-BFC1-63A9D3B3EA81}" name="/3" dataDxfId="12" dataCellStyle="Normal 2"/>
    <tableColumn id="5" xr3:uid="{289FC47D-8424-4DC1-9B26-1EE9F94B314B}" name="/4" dataDxfId="11" dataCellStyle="Normal 2"/>
    <tableColumn id="6" xr3:uid="{15DE7ABD-068A-4C55-AF51-CACB24CB5D3F}" name="/5" dataDxfId="10" dataCellStyle="Normal 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3BEA6C-4ACF-41EB-A094-051604223307}" name="Table5" displayName="Table5" ref="B3:D8" totalsRowShown="0" headerRowDxfId="9" headerRowBorderDxfId="8" tableBorderDxfId="7" totalsRowBorderDxfId="6">
  <autoFilter ref="B3:D8" xr:uid="{AC63E292-2DD8-4211-8059-295B07BAE09C}"/>
  <sortState xmlns:xlrd2="http://schemas.microsoft.com/office/spreadsheetml/2017/richdata2" ref="B4:D8">
    <sortCondition ref="C3:C8"/>
  </sortState>
  <tableColumns count="3">
    <tableColumn id="1" xr3:uid="{A590687A-CC8B-4A3D-986A-C87DABF03730}" name="Overshading description " dataDxfId="5"/>
    <tableColumn id="2" xr3:uid="{075D8244-1CFA-4253-A916-BD177589DFE8}" name="% of southern[1] sky blocked by obstructions" dataDxfId="4"/>
    <tableColumn id="3" xr3:uid="{E08EB207-9AA4-4A44-AB9D-90F80F4E92ED}" name="ZPV" dataDxfId="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0AF8714-BA7E-4614-A03B-8AD8DD48E752}" name="Table4" displayName="Table4" ref="F3:H6" totalsRowShown="0" headerRowDxfId="2">
  <autoFilter ref="F3:H6" xr:uid="{2589E96E-249E-40F5-AA1B-DE75775157F1}"/>
  <tableColumns count="3">
    <tableColumn id="1" xr3:uid="{BB55D088-9DEA-4EE2-BDEB-B34630901A20}" name="Column1"/>
    <tableColumn id="2" xr3:uid="{E824F754-D1A2-4BCB-9751-D0E879A461ED}" name="Column2" dataDxfId="1"/>
    <tableColumn id="3" xr3:uid="{C4D9B65A-3ABE-4B37-A472-D238FA5A72AF}" name="Column3"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F8682DA-C341-4C33-84A4-598E1589C261}" name="SAPTable12" displayName="SAPTable12" ref="A2:G29" totalsRowShown="0" headerRowDxfId="88" dataDxfId="87">
  <autoFilter ref="A2:G29" xr:uid="{62372FEB-4D46-4379-A611-2F93559A4C0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6F0DC984-99D9-4F43-84A6-1F54BD0605B1}" name="Fuel Category" dataDxfId="86"/>
    <tableColumn id="2" xr3:uid="{8F65F209-0CC2-4D04-A73A-46303DDB7585}" name="Fuel" dataDxfId="85"/>
    <tableColumn id="3" xr3:uid="{C56A3B84-018C-4180-81E3-65B550433674}" name="Standing charge, £" dataDxfId="84"/>
    <tableColumn id="4" xr3:uid="{9B1A2544-D204-4ED0-A1BA-4F239DFD9E70}" name="Unit price p/kWh" dataDxfId="83"/>
    <tableColumn id="5" xr3:uid="{15C56F01-3867-4717-A461-2149DC8D640E}" name="Emissions kg CO2e" dataDxfId="82"/>
    <tableColumn id="6" xr3:uid="{7E595B0C-E357-4B42-9A73-78232098CDB5}" name="Primary energy factor  " dataDxfId="81"/>
    <tableColumn id="7" xr3:uid="{3C6D946F-ABEB-428E-9C41-2C12FA334D2C}" name="Fuel Code" dataDxfId="8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021D04-96FD-46CD-92CB-6216EE6561BB}" name="Elec_high_rate_tab" displayName="Elec_high_rate_tab" ref="J21:P26" totalsRowShown="0" headerRowDxfId="79" dataDxfId="77" headerRowBorderDxfId="78" tableBorderDxfId="76" totalsRowBorderDxfId="75">
  <autoFilter ref="J21:P26" xr:uid="{76DDD206-D8C4-4EB5-84EE-0893A25A7B5B}">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62111CD2-BB1A-4432-904F-AE6CE406DF68}" name="Fuel Category" dataDxfId="74"/>
    <tableColumn id="2" xr3:uid="{5810DD45-00CA-4734-B575-C8516338F981}" name="Fuel" dataDxfId="73"/>
    <tableColumn id="3" xr3:uid="{05BF0B68-601D-43BA-B6D7-06EBE331A9FD}" name="Standing charge, £" dataDxfId="72"/>
    <tableColumn id="4" xr3:uid="{8424467F-BE81-4BAE-882D-3A397D9DA236}" name="Unit price p/kWh" dataDxfId="71"/>
    <tableColumn id="5" xr3:uid="{37B4832A-E689-4638-8040-B42B4298A1AD}" name="Emissions kg CO2e" dataDxfId="70"/>
    <tableColumn id="6" xr3:uid="{7486845D-7DC7-4597-A4BA-11F47157EB8C}" name="Primary energy factor  " dataDxfId="69"/>
    <tableColumn id="7" xr3:uid="{4F024BAD-9402-4089-B8D3-DCAEF169F26B}" name="Fuel Code" dataDxfId="6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AB80570-DDBD-42E5-9027-90B38448B75B}" name="Elec_low_rate_tab" displayName="Elec_low_rate_tab" ref="J28:P32" totalsRowShown="0" headerRowDxfId="67" dataDxfId="65" headerRowBorderDxfId="66" tableBorderDxfId="64" totalsRowBorderDxfId="63">
  <autoFilter ref="J28:P32" xr:uid="{AF8A384B-7C88-4921-A2F6-3FE67FBED16F}">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A7847A74-8B74-4D10-93A8-09B2347BA07C}" name="Fuel Category" dataDxfId="62"/>
    <tableColumn id="2" xr3:uid="{74EFAE4E-08DC-4A21-BEF0-ECE16695DB2A}" name="Fuel" dataDxfId="61"/>
    <tableColumn id="3" xr3:uid="{63FC8B52-0B0B-44C8-86AB-E22D2D86061A}" name="Standing charge, £" dataDxfId="60"/>
    <tableColumn id="4" xr3:uid="{4747D92F-5A48-445A-B539-77A2EA50107E}" name="Unit price p/kWh" dataDxfId="59"/>
    <tableColumn id="5" xr3:uid="{09CBF344-6422-4DBD-9A0E-BA44DA69D147}" name="Emissions kg CO2e" dataDxfId="58"/>
    <tableColumn id="6" xr3:uid="{07255AC5-51FC-451E-9A18-6FFE195F1A02}" name="Primary energy factor  " dataDxfId="57"/>
    <tableColumn id="7" xr3:uid="{3927D4F1-D851-4B06-9919-F18991D26D12}" name="Fuel Code" dataDxfId="5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78E3040-905D-4594-B86A-1D2F4BD2AF90}" name="SAPTable12_export" displayName="SAPTable12_export" ref="A31:G32" totalsRowShown="0" headerRowDxfId="55" headerRowBorderDxfId="54" tableBorderDxfId="53" totalsRowBorderDxfId="52">
  <autoFilter ref="A31:G32" xr:uid="{C1D8C5FE-2493-4529-81AD-2FDC83E18E0A}">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9FE718B-C8B2-4F56-B36E-80AFAFAE6A74}" name="Fuel Category" dataDxfId="51"/>
    <tableColumn id="2" xr3:uid="{FA094295-F15B-4435-9BF7-0C2036AC4FA1}" name="Fuel" dataDxfId="50"/>
    <tableColumn id="3" xr3:uid="{938BB218-816B-46E8-8187-80215D41553F}" name="Standing charge, £" dataDxfId="49"/>
    <tableColumn id="4" xr3:uid="{7379CCE8-C51D-41FE-89EC-81969ABC2919}" name="Unit price p/kWh" dataDxfId="48"/>
    <tableColumn id="5" xr3:uid="{82E001CB-B1FB-4F92-95F0-F0714E120BE0}" name="Emissions kg CO2e" dataDxfId="47"/>
    <tableColumn id="6" xr3:uid="{B79F869C-81B6-4308-A6A4-AD7EFA19F07A}" name="Primary energy factor  " dataDxfId="46"/>
    <tableColumn id="7" xr3:uid="{160E1608-7BBB-4373-91F8-63EE463F5D5B}" name="Fuel Code" dataDxfId="4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9D3AD71-7806-4E09-B934-D851BA42F392}" name="Tariff_table" displayName="Tariff_table" ref="J36:M46" totalsRowShown="0" headerRowDxfId="44" dataDxfId="43">
  <autoFilter ref="J36:M46" xr:uid="{9CD81621-DBAD-4BF4-ADD9-41E069E53E07}">
    <filterColumn colId="0" hiddenButton="1"/>
    <filterColumn colId="1" hiddenButton="1"/>
    <filterColumn colId="2" hiddenButton="1"/>
    <filterColumn colId="3" hiddenButton="1"/>
  </autoFilter>
  <sortState xmlns:xlrd2="http://schemas.microsoft.com/office/spreadsheetml/2017/richdata2" ref="K37:M38">
    <sortCondition ref="K36:K38"/>
  </sortState>
  <tableColumns count="4">
    <tableColumn id="4" xr3:uid="{400E69C7-8408-4B73-8CEB-CBAFA9EAE944}" name="Water heating System" dataDxfId="42"/>
    <tableColumn id="1" xr3:uid="{5F3ED6E0-C4B9-4613-9034-F1AE55E435C6}" name="Tariff" dataDxfId="41"/>
    <tableColumn id="5" xr3:uid="{65CBC405-192A-4053-B52C-8F3B9A034986}" name="System+tariff" dataDxfId="40">
      <calculatedColumnFormula>CONCATENATE(Tariff_table[[#This Row],[Water heating System]]," ",Tariff_table[[#This Row],[Tariff]])</calculatedColumnFormula>
    </tableColumn>
    <tableColumn id="2" xr3:uid="{03D5F996-F3D8-46F3-866B-C38602BAA685}" name="High rate fraction" dataDxfId="3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E75E9AD-5A7E-48D6-8831-B07765BA4B06}" name="High_rate_space" displayName="High_rate_space" ref="J48:M56" totalsRowShown="0" headerRowDxfId="38" tableBorderDxfId="37">
  <autoFilter ref="J48:M56" xr:uid="{76CC6148-88FF-41BA-B568-901F0404E4E7}">
    <filterColumn colId="0" hiddenButton="1"/>
    <filterColumn colId="1" hiddenButton="1"/>
    <filterColumn colId="2" hiddenButton="1"/>
    <filterColumn colId="3" hiddenButton="1"/>
  </autoFilter>
  <tableColumns count="4">
    <tableColumn id="1" xr3:uid="{A2CD5A8C-34FA-4C93-9487-3C92111C79B6}" name="Space heating System" dataDxfId="36"/>
    <tableColumn id="2" xr3:uid="{65F79E93-5EF7-4B9A-B591-4F7F02B0FD6D}" name="Tariff" dataDxfId="35"/>
    <tableColumn id="3" xr3:uid="{62643042-FA43-438A-B029-F5E3111350ED}" name="System+tariff" dataDxfId="34">
      <calculatedColumnFormula>CONCATENATE(High_rate_space[[#This Row],[Space heating System]]," ",High_rate_space[[#This Row],[Tariff]])</calculatedColumnFormula>
    </tableColumn>
    <tableColumn id="4" xr3:uid="{2DB9E6D8-5C6B-4437-9A84-7ADE1B3A4408}" name="High rate fraction" dataDxfId="33"/>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BD06C9C-82DB-4541-A8B0-E411083FF423}" name="secondary_heating" displayName="secondary_heating" ref="J58:M60" totalsRowShown="0" headerRowDxfId="32" headerRowBorderDxfId="31" tableBorderDxfId="30" totalsRowBorderDxfId="29">
  <autoFilter ref="J58:M60" xr:uid="{F945D1EA-7D44-4FC5-A245-118DA3C0790B}">
    <filterColumn colId="0" hiddenButton="1"/>
    <filterColumn colId="1" hiddenButton="1"/>
    <filterColumn colId="2" hiddenButton="1"/>
    <filterColumn colId="3" hiddenButton="1"/>
  </autoFilter>
  <tableColumns count="4">
    <tableColumn id="1" xr3:uid="{F57C6D47-52CB-4FB5-AC55-9F7B792E8C0E}" name="Secondary" dataDxfId="28"/>
    <tableColumn id="2" xr3:uid="{F3FF6685-0378-4394-8EB2-D5D75A453B7A}" name="Tariff" dataDxfId="27"/>
    <tableColumn id="3" xr3:uid="{E2A31B85-6B8F-45E3-B67E-563D94D4A8A6}" name="System+tariff" dataDxfId="26">
      <calculatedColumnFormula>_xlfn.CONCAT(secondary_heating[[#This Row],[Secondary]]," ",secondary_heating[[#This Row],[Tariff]])</calculatedColumnFormula>
    </tableColumn>
    <tableColumn id="4" xr3:uid="{D6D5413B-31F9-4748-B254-EAFFF3671C2F}" name="High rate fractio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2359215-0EBE-406B-BBC8-AAF94B56BFE3}" name="Stan_divert_ratio" displayName="Stan_divert_ratio" ref="J76:O82" totalsRowShown="0" headerRowDxfId="25" headerRowBorderDxfId="24">
  <autoFilter ref="J76:O82" xr:uid="{5D51D4D8-3C71-493C-BBDF-2768E83C7284}"/>
  <tableColumns count="6">
    <tableColumn id="1" xr3:uid="{C7DBC6EC-C6BA-4E9A-858C-28D3EF2BC313}" name="Standard" dataDxfId="23" dataCellStyle="Normal 2"/>
    <tableColumn id="2" xr3:uid="{11BD8D1E-C9B9-4265-A7F4-B95161622621}" name="/" dataDxfId="22" dataCellStyle="Normal 2"/>
    <tableColumn id="3" xr3:uid="{EFD91DEB-CC01-4BB3-A41A-BEF81EA8D75A}" name="/2" dataDxfId="21" dataCellStyle="Normal 2"/>
    <tableColumn id="4" xr3:uid="{DA1F81CF-70CF-46B8-8E49-9DB5E33D8D16}" name="/3" dataDxfId="20" dataCellStyle="Normal 2"/>
    <tableColumn id="5" xr3:uid="{00E9423C-7B9E-4FBE-AACF-DEFD77824C11}" name="/4" dataDxfId="19" dataCellStyle="Normal 2"/>
    <tableColumn id="6" xr3:uid="{66BDF441-C9E8-4F16-A1EE-8694364EA976}" name="/5" dataDxfId="18" dataCellStyle="Normal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table" Target="../tables/table1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J9:N45"/>
  <sheetViews>
    <sheetView showGridLines="0" zoomScale="85" zoomScaleNormal="85" workbookViewId="0">
      <selection activeCell="D49" sqref="D49"/>
    </sheetView>
  </sheetViews>
  <sheetFormatPr defaultColWidth="9" defaultRowHeight="14.5" x14ac:dyDescent="0.35"/>
  <cols>
    <col min="1" max="16384" width="9" style="16"/>
  </cols>
  <sheetData>
    <row r="9" spans="10:10" ht="9.75" customHeight="1" x14ac:dyDescent="0.35"/>
    <row r="16" spans="10:10" x14ac:dyDescent="0.35">
      <c r="J16" s="19"/>
    </row>
    <row r="31" spans="11:11" x14ac:dyDescent="0.35">
      <c r="K31" s="33"/>
    </row>
    <row r="33" spans="14:14" ht="25.9" customHeight="1" x14ac:dyDescent="0.35">
      <c r="N33" s="7"/>
    </row>
    <row r="34" spans="14:14" x14ac:dyDescent="0.35">
      <c r="N34" s="7"/>
    </row>
    <row r="35" spans="14:14" x14ac:dyDescent="0.35">
      <c r="N35" s="7"/>
    </row>
    <row r="36" spans="14:14" x14ac:dyDescent="0.35">
      <c r="N36" s="7"/>
    </row>
    <row r="37" spans="14:14" x14ac:dyDescent="0.35">
      <c r="N37" s="7"/>
    </row>
    <row r="38" spans="14:14" x14ac:dyDescent="0.35">
      <c r="N38" s="7"/>
    </row>
    <row r="39" spans="14:14" x14ac:dyDescent="0.35">
      <c r="N39" s="7"/>
    </row>
    <row r="40" spans="14:14" x14ac:dyDescent="0.35">
      <c r="N40" s="7"/>
    </row>
    <row r="41" spans="14:14" x14ac:dyDescent="0.35">
      <c r="N41" s="7"/>
    </row>
    <row r="42" spans="14:14" x14ac:dyDescent="0.35">
      <c r="N42" s="7"/>
    </row>
    <row r="43" spans="14:14" x14ac:dyDescent="0.35">
      <c r="N43" s="7"/>
    </row>
    <row r="44" spans="14:14" x14ac:dyDescent="0.35">
      <c r="N44" s="7"/>
    </row>
    <row r="45" spans="14:14" x14ac:dyDescent="0.35">
      <c r="N45" s="7"/>
    </row>
  </sheetData>
  <sheetProtection algorithmName="SHA-512" hashValue="Q46CR2FQ28gKaAZ1oil76Ta6wM06yRnpcrSyBzUsr1zFeOZGF8A2rjQHCqiXmxzxdNmzgllPt/rxNufQ9Jpd4Q==" saltValue="rdfFNczFQNWNvuS/GK+W4A==" spinCount="100000" sheet="1" objects="1" scenarios="1"/>
  <pageMargins left="0.7" right="0.7" top="0.75" bottom="0.75" header="0.3" footer="0.3"/>
  <pageSetup paperSize="9" orientation="portrait" r:id="rId1"/>
  <headerFooter>
    <oddHeader xml:space="preserve">&amp;C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6CB6C-858F-4E38-BFAE-CBCD361F27E7}">
  <sheetPr codeName="Sheet3">
    <tabColor rgb="FFFFFF00"/>
  </sheetPr>
  <dimension ref="B3:AB42"/>
  <sheetViews>
    <sheetView showGridLines="0" topLeftCell="D1" zoomScale="85" zoomScaleNormal="85" workbookViewId="0">
      <selection activeCell="H3" sqref="H3"/>
    </sheetView>
  </sheetViews>
  <sheetFormatPr defaultColWidth="9" defaultRowHeight="14.5" x14ac:dyDescent="0.35"/>
  <cols>
    <col min="1" max="1" width="9" style="16"/>
    <col min="2" max="2" width="10.7265625" style="16" customWidth="1"/>
    <col min="3" max="3" width="13.54296875" style="16" customWidth="1"/>
    <col min="4" max="4" width="14" style="16" customWidth="1"/>
    <col min="5" max="5" width="35.453125" style="16" bestFit="1" customWidth="1"/>
    <col min="6" max="6" width="15.7265625" style="16" customWidth="1"/>
    <col min="7" max="7" width="24.7265625" style="16" customWidth="1"/>
    <col min="8" max="8" width="14" style="16" customWidth="1"/>
    <col min="9" max="9" width="24" style="16" customWidth="1"/>
    <col min="10" max="10" width="21" style="16" customWidth="1"/>
    <col min="11" max="11" width="23.26953125" style="16" customWidth="1"/>
    <col min="12" max="16" width="9" style="16"/>
    <col min="17" max="17" width="9" style="16" customWidth="1"/>
    <col min="18" max="18" width="19" style="16" bestFit="1" customWidth="1"/>
    <col min="19" max="16384" width="9" style="16"/>
  </cols>
  <sheetData>
    <row r="3" spans="2:28" ht="14.25" customHeight="1" x14ac:dyDescent="0.35">
      <c r="B3" s="148" t="s">
        <v>0</v>
      </c>
      <c r="C3" s="149"/>
      <c r="D3" s="149"/>
      <c r="E3" s="149"/>
      <c r="F3" s="149"/>
      <c r="G3" s="149"/>
      <c r="H3" s="75">
        <v>100</v>
      </c>
      <c r="I3" s="149"/>
      <c r="J3" s="149"/>
      <c r="K3" s="150"/>
    </row>
    <row r="5" spans="2:28" ht="14.25" customHeight="1" x14ac:dyDescent="0.35">
      <c r="B5" s="148" t="s">
        <v>1</v>
      </c>
      <c r="C5" s="149"/>
      <c r="D5" s="149"/>
      <c r="E5" s="149"/>
      <c r="F5" s="149"/>
      <c r="G5" s="149"/>
      <c r="H5" s="149"/>
      <c r="I5" s="149"/>
      <c r="J5" s="149"/>
      <c r="K5" s="150"/>
    </row>
    <row r="6" spans="2:28" ht="26.25" customHeight="1" x14ac:dyDescent="0.35">
      <c r="B6" s="102" t="s">
        <v>2</v>
      </c>
      <c r="C6" s="103" t="s">
        <v>3</v>
      </c>
      <c r="D6" s="103" t="s">
        <v>4</v>
      </c>
      <c r="E6" s="103" t="s">
        <v>5</v>
      </c>
      <c r="F6" s="103" t="s">
        <v>6</v>
      </c>
      <c r="G6" s="103" t="s">
        <v>7</v>
      </c>
      <c r="H6" s="103" t="s">
        <v>8</v>
      </c>
      <c r="I6" s="103" t="s">
        <v>9</v>
      </c>
      <c r="J6" s="104" t="s">
        <v>10</v>
      </c>
      <c r="K6" s="104" t="s">
        <v>11</v>
      </c>
      <c r="L6" s="147"/>
      <c r="M6" s="147"/>
      <c r="P6" s="105"/>
      <c r="Q6" s="105"/>
      <c r="S6" s="105"/>
      <c r="T6" s="105"/>
      <c r="U6" s="105"/>
      <c r="V6" s="105"/>
      <c r="W6" s="105"/>
      <c r="X6" s="105"/>
      <c r="Y6" s="105"/>
      <c r="Z6" s="105"/>
      <c r="AA6" s="105"/>
      <c r="AB6" s="105"/>
    </row>
    <row r="7" spans="2:28" x14ac:dyDescent="0.35">
      <c r="B7" s="106">
        <v>100</v>
      </c>
      <c r="C7" s="107" t="s">
        <v>12</v>
      </c>
      <c r="D7" s="107" t="s">
        <v>12</v>
      </c>
      <c r="E7" s="107" t="s">
        <v>12</v>
      </c>
      <c r="F7" s="107" t="s">
        <v>12</v>
      </c>
      <c r="G7" s="107" t="s">
        <v>12</v>
      </c>
      <c r="H7" s="107" t="s">
        <v>12</v>
      </c>
      <c r="I7" s="107" t="s">
        <v>12</v>
      </c>
      <c r="J7" s="107" t="s">
        <v>12</v>
      </c>
      <c r="K7" s="107" t="s">
        <v>12</v>
      </c>
      <c r="L7" s="147"/>
      <c r="M7" s="147"/>
      <c r="P7" s="105"/>
      <c r="Q7" s="105"/>
      <c r="S7" s="105"/>
      <c r="T7" s="105"/>
      <c r="U7" s="105"/>
      <c r="V7" s="105"/>
      <c r="W7" s="105"/>
      <c r="X7" s="105"/>
      <c r="Y7" s="105"/>
      <c r="Z7" s="105"/>
      <c r="AA7" s="105"/>
      <c r="AB7" s="105"/>
    </row>
    <row r="8" spans="2:28" x14ac:dyDescent="0.35">
      <c r="B8" s="107">
        <v>101</v>
      </c>
      <c r="C8" s="107" t="s">
        <v>13</v>
      </c>
      <c r="D8" s="107" t="s">
        <v>13</v>
      </c>
      <c r="E8" s="107" t="s">
        <v>14</v>
      </c>
      <c r="F8" s="107" t="s">
        <v>15</v>
      </c>
      <c r="G8" s="139" t="s">
        <v>16</v>
      </c>
      <c r="H8" s="107">
        <v>400</v>
      </c>
      <c r="I8" s="107" t="s">
        <v>17</v>
      </c>
      <c r="J8" s="107" t="s">
        <v>18</v>
      </c>
      <c r="K8" s="107" t="s">
        <v>19</v>
      </c>
      <c r="L8" s="147"/>
      <c r="M8" s="147"/>
      <c r="P8" s="105"/>
      <c r="Q8" s="105"/>
      <c r="S8" s="105"/>
      <c r="T8" s="105"/>
      <c r="U8" s="105"/>
      <c r="V8" s="105"/>
      <c r="W8" s="105"/>
      <c r="X8" s="105"/>
      <c r="Y8" s="105"/>
      <c r="Z8" s="105"/>
      <c r="AA8" s="105"/>
      <c r="AB8" s="105"/>
    </row>
    <row r="9" spans="2:28" x14ac:dyDescent="0.35">
      <c r="B9" s="106">
        <v>102</v>
      </c>
      <c r="C9" s="107" t="s">
        <v>13</v>
      </c>
      <c r="D9" s="107" t="s">
        <v>13</v>
      </c>
      <c r="E9" s="107" t="s">
        <v>20</v>
      </c>
      <c r="F9" s="107" t="s">
        <v>15</v>
      </c>
      <c r="G9" s="139" t="s">
        <v>16</v>
      </c>
      <c r="H9" s="107">
        <v>500</v>
      </c>
      <c r="I9" s="107" t="s">
        <v>21</v>
      </c>
      <c r="J9" s="107" t="s">
        <v>18</v>
      </c>
      <c r="K9" s="107" t="s">
        <v>22</v>
      </c>
      <c r="L9" s="147"/>
      <c r="M9" s="147"/>
      <c r="P9" s="105"/>
      <c r="Q9" s="105"/>
      <c r="S9" s="105"/>
      <c r="T9" s="105"/>
      <c r="U9" s="105"/>
      <c r="V9" s="105"/>
      <c r="W9" s="105"/>
      <c r="X9" s="105"/>
      <c r="Y9" s="105"/>
      <c r="Z9" s="105"/>
      <c r="AA9" s="105"/>
      <c r="AB9" s="105"/>
    </row>
    <row r="10" spans="2:28" x14ac:dyDescent="0.35">
      <c r="B10" s="107">
        <v>103</v>
      </c>
      <c r="C10" s="107" t="s">
        <v>13</v>
      </c>
      <c r="D10" s="107" t="s">
        <v>13</v>
      </c>
      <c r="E10" s="107" t="s">
        <v>23</v>
      </c>
      <c r="F10" s="107" t="s">
        <v>24</v>
      </c>
      <c r="G10" s="139" t="s">
        <v>25</v>
      </c>
      <c r="H10" s="107">
        <v>120</v>
      </c>
      <c r="I10" s="108" t="s">
        <v>26</v>
      </c>
      <c r="J10" s="107" t="s">
        <v>27</v>
      </c>
      <c r="K10" s="107" t="s">
        <v>28</v>
      </c>
      <c r="L10" s="105"/>
      <c r="M10" s="105"/>
      <c r="T10" s="18"/>
      <c r="U10" s="18"/>
      <c r="V10" s="18"/>
    </row>
    <row r="11" spans="2:28" x14ac:dyDescent="0.35">
      <c r="B11" s="106">
        <v>104</v>
      </c>
      <c r="C11" s="107" t="s">
        <v>13</v>
      </c>
      <c r="D11" s="107" t="s">
        <v>13</v>
      </c>
      <c r="E11" s="107" t="s">
        <v>29</v>
      </c>
      <c r="F11" s="107" t="s">
        <v>24</v>
      </c>
      <c r="G11" s="139" t="s">
        <v>25</v>
      </c>
      <c r="H11" s="107">
        <v>150</v>
      </c>
      <c r="I11" s="108" t="s">
        <v>30</v>
      </c>
      <c r="J11" s="107" t="s">
        <v>31</v>
      </c>
      <c r="K11" s="107" t="s">
        <v>28</v>
      </c>
      <c r="L11" s="105"/>
      <c r="M11" s="105"/>
      <c r="P11" s="105"/>
      <c r="T11" s="70"/>
      <c r="U11" s="18"/>
      <c r="V11" s="18"/>
      <c r="Z11" s="18"/>
      <c r="AA11" s="18"/>
    </row>
    <row r="12" spans="2:28" x14ac:dyDescent="0.35">
      <c r="B12" s="107">
        <v>105</v>
      </c>
      <c r="C12" s="107" t="s">
        <v>13</v>
      </c>
      <c r="D12" s="107" t="s">
        <v>13</v>
      </c>
      <c r="E12" s="107" t="s">
        <v>32</v>
      </c>
      <c r="F12" s="107" t="s">
        <v>24</v>
      </c>
      <c r="G12" s="139" t="s">
        <v>25</v>
      </c>
      <c r="H12" s="107">
        <v>180</v>
      </c>
      <c r="I12" s="108" t="s">
        <v>33</v>
      </c>
      <c r="J12" s="107" t="s">
        <v>31</v>
      </c>
      <c r="K12" s="107" t="s">
        <v>28</v>
      </c>
      <c r="L12" s="105"/>
      <c r="M12" s="105"/>
      <c r="P12" s="105"/>
      <c r="T12" s="18"/>
      <c r="U12" s="18"/>
      <c r="V12" s="18"/>
      <c r="AA12" s="18"/>
    </row>
    <row r="13" spans="2:28" x14ac:dyDescent="0.35">
      <c r="B13" s="106">
        <v>106</v>
      </c>
      <c r="C13" s="107" t="s">
        <v>13</v>
      </c>
      <c r="D13" s="107" t="s">
        <v>13</v>
      </c>
      <c r="E13" s="107" t="s">
        <v>34</v>
      </c>
      <c r="F13" s="107" t="s">
        <v>24</v>
      </c>
      <c r="G13" s="139" t="s">
        <v>25</v>
      </c>
      <c r="H13" s="107">
        <v>210</v>
      </c>
      <c r="I13" s="108" t="s">
        <v>35</v>
      </c>
      <c r="J13" s="107" t="s">
        <v>18</v>
      </c>
      <c r="K13" s="107" t="s">
        <v>28</v>
      </c>
      <c r="S13" s="70"/>
    </row>
    <row r="14" spans="2:28" x14ac:dyDescent="0.35">
      <c r="B14" s="107">
        <v>107</v>
      </c>
      <c r="C14" s="107" t="s">
        <v>13</v>
      </c>
      <c r="D14" s="107" t="s">
        <v>13</v>
      </c>
      <c r="E14" s="107" t="s">
        <v>36</v>
      </c>
      <c r="F14" s="107" t="s">
        <v>24</v>
      </c>
      <c r="G14" s="139" t="s">
        <v>25</v>
      </c>
      <c r="H14" s="107">
        <v>250</v>
      </c>
      <c r="I14" s="108" t="s">
        <v>37</v>
      </c>
      <c r="J14" s="107" t="s">
        <v>18</v>
      </c>
      <c r="K14" s="107" t="s">
        <v>28</v>
      </c>
      <c r="S14" s="18"/>
    </row>
    <row r="15" spans="2:28" x14ac:dyDescent="0.35">
      <c r="B15" s="106">
        <v>108</v>
      </c>
      <c r="C15" s="107" t="s">
        <v>13</v>
      </c>
      <c r="D15" s="107" t="s">
        <v>13</v>
      </c>
      <c r="E15" s="107" t="s">
        <v>38</v>
      </c>
      <c r="F15" s="107" t="s">
        <v>24</v>
      </c>
      <c r="G15" s="139" t="s">
        <v>25</v>
      </c>
      <c r="H15" s="107">
        <v>300</v>
      </c>
      <c r="I15" s="108" t="s">
        <v>39</v>
      </c>
      <c r="J15" s="107" t="s">
        <v>18</v>
      </c>
      <c r="K15" s="107" t="s">
        <v>40</v>
      </c>
      <c r="S15" s="70"/>
    </row>
    <row r="16" spans="2:28" x14ac:dyDescent="0.35">
      <c r="B16" s="107">
        <v>109</v>
      </c>
      <c r="C16" s="107" t="s">
        <v>13</v>
      </c>
      <c r="D16" s="107" t="s">
        <v>41</v>
      </c>
      <c r="E16" s="107" t="s">
        <v>42</v>
      </c>
      <c r="F16" s="107" t="s">
        <v>43</v>
      </c>
      <c r="G16" s="139" t="s">
        <v>25</v>
      </c>
      <c r="H16" s="107">
        <v>130</v>
      </c>
      <c r="I16" s="108" t="s">
        <v>44</v>
      </c>
      <c r="J16" s="107" t="s">
        <v>27</v>
      </c>
      <c r="K16" s="107" t="s">
        <v>45</v>
      </c>
      <c r="S16" s="18"/>
    </row>
    <row r="17" spans="2:19" x14ac:dyDescent="0.35">
      <c r="B17" s="106">
        <v>110</v>
      </c>
      <c r="C17" s="107" t="s">
        <v>13</v>
      </c>
      <c r="D17" s="107" t="s">
        <v>41</v>
      </c>
      <c r="E17" s="107" t="s">
        <v>42</v>
      </c>
      <c r="F17" s="107" t="s">
        <v>46</v>
      </c>
      <c r="G17" s="139" t="s">
        <v>25</v>
      </c>
      <c r="H17" s="107">
        <v>160</v>
      </c>
      <c r="I17" s="108" t="s">
        <v>47</v>
      </c>
      <c r="J17" s="107" t="s">
        <v>31</v>
      </c>
      <c r="K17" s="107" t="s">
        <v>48</v>
      </c>
      <c r="S17" s="70"/>
    </row>
    <row r="18" spans="2:19" x14ac:dyDescent="0.35">
      <c r="B18" s="107">
        <v>111</v>
      </c>
      <c r="C18" s="107" t="s">
        <v>13</v>
      </c>
      <c r="D18" s="107" t="s">
        <v>41</v>
      </c>
      <c r="E18" s="107" t="s">
        <v>42</v>
      </c>
      <c r="F18" s="107" t="s">
        <v>49</v>
      </c>
      <c r="G18" s="139" t="s">
        <v>25</v>
      </c>
      <c r="H18" s="107">
        <v>189</v>
      </c>
      <c r="I18" s="108" t="s">
        <v>50</v>
      </c>
      <c r="J18" s="107" t="s">
        <v>31</v>
      </c>
      <c r="K18" s="107" t="s">
        <v>45</v>
      </c>
      <c r="S18" s="70"/>
    </row>
    <row r="19" spans="2:19" x14ac:dyDescent="0.35">
      <c r="B19" s="106">
        <v>112</v>
      </c>
      <c r="C19" s="107" t="s">
        <v>13</v>
      </c>
      <c r="D19" s="107" t="s">
        <v>41</v>
      </c>
      <c r="E19" s="107" t="s">
        <v>42</v>
      </c>
      <c r="F19" s="107" t="s">
        <v>51</v>
      </c>
      <c r="G19" s="139" t="s">
        <v>25</v>
      </c>
      <c r="H19" s="107">
        <v>219</v>
      </c>
      <c r="I19" s="108" t="s">
        <v>52</v>
      </c>
      <c r="J19" s="107" t="s">
        <v>18</v>
      </c>
      <c r="K19" s="107" t="s">
        <v>40</v>
      </c>
      <c r="S19" s="18"/>
    </row>
    <row r="20" spans="2:19" x14ac:dyDescent="0.35">
      <c r="B20" s="107">
        <v>113</v>
      </c>
      <c r="C20" s="107" t="s">
        <v>13</v>
      </c>
      <c r="D20" s="107" t="s">
        <v>41</v>
      </c>
      <c r="E20" s="107" t="s">
        <v>42</v>
      </c>
      <c r="F20" s="107" t="s">
        <v>53</v>
      </c>
      <c r="G20" s="139" t="s">
        <v>25</v>
      </c>
      <c r="H20" s="107">
        <v>257</v>
      </c>
      <c r="I20" s="108" t="s">
        <v>54</v>
      </c>
      <c r="J20" s="107" t="s">
        <v>18</v>
      </c>
      <c r="K20" s="107" t="s">
        <v>45</v>
      </c>
    </row>
    <row r="21" spans="2:19" x14ac:dyDescent="0.35">
      <c r="B21" s="106">
        <v>114</v>
      </c>
      <c r="C21" s="107" t="s">
        <v>13</v>
      </c>
      <c r="D21" s="107" t="s">
        <v>41</v>
      </c>
      <c r="E21" s="107" t="s">
        <v>42</v>
      </c>
      <c r="F21" s="107" t="s">
        <v>55</v>
      </c>
      <c r="G21" s="139" t="s">
        <v>25</v>
      </c>
      <c r="H21" s="107">
        <v>302</v>
      </c>
      <c r="I21" s="108" t="s">
        <v>56</v>
      </c>
      <c r="J21" s="107" t="s">
        <v>18</v>
      </c>
      <c r="K21" s="107" t="s">
        <v>40</v>
      </c>
    </row>
    <row r="22" spans="2:19" x14ac:dyDescent="0.35">
      <c r="B22" s="107">
        <v>115</v>
      </c>
      <c r="C22" s="107" t="s">
        <v>13</v>
      </c>
      <c r="D22" s="107" t="s">
        <v>41</v>
      </c>
      <c r="E22" s="107" t="s">
        <v>42</v>
      </c>
      <c r="F22" s="107" t="s">
        <v>57</v>
      </c>
      <c r="G22" s="139" t="s">
        <v>25</v>
      </c>
      <c r="H22" s="107">
        <v>130</v>
      </c>
      <c r="I22" s="108" t="s">
        <v>44</v>
      </c>
      <c r="J22" s="107" t="s">
        <v>27</v>
      </c>
      <c r="K22" s="107" t="s">
        <v>45</v>
      </c>
    </row>
    <row r="23" spans="2:19" x14ac:dyDescent="0.35">
      <c r="B23" s="106">
        <v>116</v>
      </c>
      <c r="C23" s="107" t="s">
        <v>13</v>
      </c>
      <c r="D23" s="107" t="s">
        <v>41</v>
      </c>
      <c r="E23" s="107" t="s">
        <v>42</v>
      </c>
      <c r="F23" s="107" t="s">
        <v>58</v>
      </c>
      <c r="G23" s="139" t="s">
        <v>25</v>
      </c>
      <c r="H23" s="107">
        <v>160</v>
      </c>
      <c r="I23" s="108" t="s">
        <v>47</v>
      </c>
      <c r="J23" s="107" t="s">
        <v>31</v>
      </c>
      <c r="K23" s="107" t="s">
        <v>48</v>
      </c>
    </row>
    <row r="24" spans="2:19" x14ac:dyDescent="0.35">
      <c r="B24" s="107">
        <v>117</v>
      </c>
      <c r="C24" s="107" t="s">
        <v>13</v>
      </c>
      <c r="D24" s="107" t="s">
        <v>41</v>
      </c>
      <c r="E24" s="107" t="s">
        <v>42</v>
      </c>
      <c r="F24" s="107" t="s">
        <v>59</v>
      </c>
      <c r="G24" s="139" t="s">
        <v>25</v>
      </c>
      <c r="H24" s="107">
        <v>189</v>
      </c>
      <c r="I24" s="108" t="s">
        <v>50</v>
      </c>
      <c r="J24" s="107" t="s">
        <v>31</v>
      </c>
      <c r="K24" s="107" t="s">
        <v>45</v>
      </c>
    </row>
    <row r="25" spans="2:19" x14ac:dyDescent="0.35">
      <c r="B25" s="106">
        <v>118</v>
      </c>
      <c r="C25" s="107" t="s">
        <v>13</v>
      </c>
      <c r="D25" s="107" t="s">
        <v>41</v>
      </c>
      <c r="E25" s="107" t="s">
        <v>42</v>
      </c>
      <c r="F25" s="107" t="s">
        <v>60</v>
      </c>
      <c r="G25" s="139" t="s">
        <v>25</v>
      </c>
      <c r="H25" s="107">
        <v>219</v>
      </c>
      <c r="I25" s="108" t="s">
        <v>52</v>
      </c>
      <c r="J25" s="107" t="s">
        <v>18</v>
      </c>
      <c r="K25" s="107" t="s">
        <v>40</v>
      </c>
    </row>
    <row r="26" spans="2:19" x14ac:dyDescent="0.35">
      <c r="B26" s="107">
        <v>119</v>
      </c>
      <c r="C26" s="107" t="s">
        <v>13</v>
      </c>
      <c r="D26" s="107" t="s">
        <v>41</v>
      </c>
      <c r="E26" s="107" t="s">
        <v>42</v>
      </c>
      <c r="F26" s="107" t="s">
        <v>61</v>
      </c>
      <c r="G26" s="139" t="s">
        <v>25</v>
      </c>
      <c r="H26" s="107">
        <v>257</v>
      </c>
      <c r="I26" s="108" t="s">
        <v>54</v>
      </c>
      <c r="J26" s="107" t="s">
        <v>18</v>
      </c>
      <c r="K26" s="107" t="s">
        <v>45</v>
      </c>
    </row>
    <row r="27" spans="2:19" x14ac:dyDescent="0.35">
      <c r="B27" s="106">
        <v>120</v>
      </c>
      <c r="C27" s="107" t="s">
        <v>13</v>
      </c>
      <c r="D27" s="107" t="s">
        <v>41</v>
      </c>
      <c r="E27" s="107" t="s">
        <v>42</v>
      </c>
      <c r="F27" s="107" t="s">
        <v>62</v>
      </c>
      <c r="G27" s="139" t="s">
        <v>25</v>
      </c>
      <c r="H27" s="107">
        <v>302</v>
      </c>
      <c r="I27" s="108" t="s">
        <v>56</v>
      </c>
      <c r="J27" s="107" t="s">
        <v>18</v>
      </c>
      <c r="K27" s="107" t="s">
        <v>40</v>
      </c>
    </row>
    <row r="28" spans="2:19" x14ac:dyDescent="0.35">
      <c r="B28" s="107">
        <v>121</v>
      </c>
      <c r="C28" s="107" t="s">
        <v>13</v>
      </c>
      <c r="D28" s="107" t="s">
        <v>13</v>
      </c>
      <c r="E28" s="107" t="s">
        <v>63</v>
      </c>
      <c r="F28" s="107" t="s">
        <v>64</v>
      </c>
      <c r="G28" s="139" t="s">
        <v>65</v>
      </c>
      <c r="H28" s="107">
        <v>150</v>
      </c>
      <c r="I28" s="108" t="s">
        <v>66</v>
      </c>
      <c r="J28" s="107" t="s">
        <v>31</v>
      </c>
      <c r="K28" s="107" t="s">
        <v>28</v>
      </c>
    </row>
    <row r="29" spans="2:19" x14ac:dyDescent="0.35">
      <c r="B29" s="106">
        <v>122</v>
      </c>
      <c r="C29" s="107" t="s">
        <v>13</v>
      </c>
      <c r="D29" s="107" t="s">
        <v>13</v>
      </c>
      <c r="E29" s="107" t="s">
        <v>67</v>
      </c>
      <c r="F29" s="107" t="s">
        <v>64</v>
      </c>
      <c r="G29" s="139" t="s">
        <v>65</v>
      </c>
      <c r="H29" s="107">
        <v>210</v>
      </c>
      <c r="I29" s="108" t="s">
        <v>68</v>
      </c>
      <c r="J29" s="107" t="s">
        <v>18</v>
      </c>
      <c r="K29" s="107" t="s">
        <v>40</v>
      </c>
    </row>
    <row r="30" spans="2:19" x14ac:dyDescent="0.35">
      <c r="B30" s="140">
        <v>123</v>
      </c>
      <c r="C30" s="140" t="s">
        <v>13</v>
      </c>
      <c r="D30" s="140" t="s">
        <v>13</v>
      </c>
      <c r="E30" s="140" t="s">
        <v>23</v>
      </c>
      <c r="F30" s="140" t="s">
        <v>69</v>
      </c>
      <c r="G30" s="141" t="s">
        <v>70</v>
      </c>
      <c r="H30" s="140">
        <v>120</v>
      </c>
      <c r="I30" s="142" t="s">
        <v>71</v>
      </c>
      <c r="J30" s="140" t="s">
        <v>27</v>
      </c>
      <c r="K30" s="140" t="s">
        <v>48</v>
      </c>
    </row>
    <row r="31" spans="2:19" x14ac:dyDescent="0.35">
      <c r="B31" s="146">
        <v>124</v>
      </c>
      <c r="C31" s="140" t="s">
        <v>13</v>
      </c>
      <c r="D31" s="140" t="s">
        <v>13</v>
      </c>
      <c r="E31" s="140" t="s">
        <v>29</v>
      </c>
      <c r="F31" s="140" t="s">
        <v>69</v>
      </c>
      <c r="G31" s="141" t="s">
        <v>70</v>
      </c>
      <c r="H31" s="140">
        <v>150</v>
      </c>
      <c r="I31" s="142" t="s">
        <v>72</v>
      </c>
      <c r="J31" s="140" t="s">
        <v>31</v>
      </c>
      <c r="K31" s="140" t="s">
        <v>28</v>
      </c>
    </row>
    <row r="32" spans="2:19" x14ac:dyDescent="0.35">
      <c r="B32" s="140">
        <v>125</v>
      </c>
      <c r="C32" s="140" t="s">
        <v>13</v>
      </c>
      <c r="D32" s="140" t="s">
        <v>13</v>
      </c>
      <c r="E32" s="140" t="s">
        <v>32</v>
      </c>
      <c r="F32" s="140" t="s">
        <v>69</v>
      </c>
      <c r="G32" s="141" t="s">
        <v>70</v>
      </c>
      <c r="H32" s="140">
        <v>180</v>
      </c>
      <c r="I32" s="142" t="s">
        <v>73</v>
      </c>
      <c r="J32" s="140" t="s">
        <v>31</v>
      </c>
      <c r="K32" s="140" t="s">
        <v>28</v>
      </c>
    </row>
    <row r="33" spans="2:11" x14ac:dyDescent="0.35">
      <c r="B33" s="146">
        <v>126</v>
      </c>
      <c r="C33" s="140" t="s">
        <v>13</v>
      </c>
      <c r="D33" s="140" t="s">
        <v>13</v>
      </c>
      <c r="E33" s="140" t="s">
        <v>34</v>
      </c>
      <c r="F33" s="140" t="s">
        <v>69</v>
      </c>
      <c r="G33" s="141" t="s">
        <v>70</v>
      </c>
      <c r="H33" s="140">
        <v>210</v>
      </c>
      <c r="I33" s="142" t="s">
        <v>74</v>
      </c>
      <c r="J33" s="143" t="s">
        <v>18</v>
      </c>
      <c r="K33" s="143" t="s">
        <v>40</v>
      </c>
    </row>
    <row r="34" spans="2:11" x14ac:dyDescent="0.35">
      <c r="B34" s="140">
        <v>127</v>
      </c>
      <c r="C34" s="143" t="s">
        <v>13</v>
      </c>
      <c r="D34" s="143" t="s">
        <v>13</v>
      </c>
      <c r="E34" s="143" t="s">
        <v>38</v>
      </c>
      <c r="F34" s="143" t="s">
        <v>69</v>
      </c>
      <c r="G34" s="144" t="s">
        <v>70</v>
      </c>
      <c r="H34" s="143">
        <v>300</v>
      </c>
      <c r="I34" s="145" t="s">
        <v>75</v>
      </c>
      <c r="J34" s="143" t="s">
        <v>18</v>
      </c>
      <c r="K34" s="143" t="s">
        <v>40</v>
      </c>
    </row>
    <row r="35" spans="2:11" x14ac:dyDescent="0.35">
      <c r="B35" s="146">
        <v>128</v>
      </c>
      <c r="C35" s="140" t="s">
        <v>13</v>
      </c>
      <c r="D35" s="140" t="s">
        <v>13</v>
      </c>
      <c r="E35" s="140" t="s">
        <v>76</v>
      </c>
      <c r="F35" s="140" t="s">
        <v>69</v>
      </c>
      <c r="G35" s="141" t="s">
        <v>77</v>
      </c>
      <c r="H35" s="140">
        <v>170</v>
      </c>
      <c r="I35" s="140" t="s">
        <v>78</v>
      </c>
      <c r="J35" s="140" t="s">
        <v>31</v>
      </c>
      <c r="K35" s="140" t="s">
        <v>45</v>
      </c>
    </row>
    <row r="36" spans="2:11" x14ac:dyDescent="0.35">
      <c r="B36" s="140">
        <v>129</v>
      </c>
      <c r="C36" s="140" t="s">
        <v>13</v>
      </c>
      <c r="D36" s="140" t="s">
        <v>13</v>
      </c>
      <c r="E36" s="140" t="s">
        <v>79</v>
      </c>
      <c r="F36" s="140" t="s">
        <v>69</v>
      </c>
      <c r="G36" s="141" t="s">
        <v>77</v>
      </c>
      <c r="H36" s="140">
        <v>200</v>
      </c>
      <c r="I36" s="140" t="s">
        <v>80</v>
      </c>
      <c r="J36" s="143" t="s">
        <v>18</v>
      </c>
      <c r="K36" s="143" t="s">
        <v>45</v>
      </c>
    </row>
    <row r="37" spans="2:11" x14ac:dyDescent="0.35">
      <c r="B37" s="146">
        <v>130</v>
      </c>
      <c r="C37" s="140" t="s">
        <v>13</v>
      </c>
      <c r="D37" s="140" t="s">
        <v>13</v>
      </c>
      <c r="E37" s="140" t="s">
        <v>36</v>
      </c>
      <c r="F37" s="140" t="s">
        <v>15</v>
      </c>
      <c r="G37" s="141" t="s">
        <v>81</v>
      </c>
      <c r="H37" s="140">
        <v>250</v>
      </c>
      <c r="I37" s="140" t="s">
        <v>80</v>
      </c>
      <c r="J37" s="140" t="s">
        <v>18</v>
      </c>
      <c r="K37" s="140" t="s">
        <v>45</v>
      </c>
    </row>
    <row r="38" spans="2:11" x14ac:dyDescent="0.35">
      <c r="B38" s="140">
        <v>131</v>
      </c>
      <c r="C38" s="140" t="s">
        <v>13</v>
      </c>
      <c r="D38" s="140" t="s">
        <v>13</v>
      </c>
      <c r="E38" s="140" t="s">
        <v>23</v>
      </c>
      <c r="F38" s="140" t="s">
        <v>15</v>
      </c>
      <c r="G38" s="141" t="s">
        <v>81</v>
      </c>
      <c r="H38" s="140">
        <v>120</v>
      </c>
      <c r="I38" s="142" t="s">
        <v>82</v>
      </c>
      <c r="J38" s="140" t="s">
        <v>27</v>
      </c>
      <c r="K38" s="140" t="s">
        <v>48</v>
      </c>
    </row>
    <row r="39" spans="2:11" x14ac:dyDescent="0.35">
      <c r="B39" s="146">
        <v>132</v>
      </c>
      <c r="C39" s="140" t="s">
        <v>13</v>
      </c>
      <c r="D39" s="140" t="s">
        <v>13</v>
      </c>
      <c r="E39" s="140" t="s">
        <v>29</v>
      </c>
      <c r="F39" s="140" t="s">
        <v>15</v>
      </c>
      <c r="G39" s="141" t="s">
        <v>81</v>
      </c>
      <c r="H39" s="140">
        <v>150</v>
      </c>
      <c r="I39" s="142" t="s">
        <v>83</v>
      </c>
      <c r="J39" s="140" t="s">
        <v>31</v>
      </c>
      <c r="K39" s="140" t="s">
        <v>48</v>
      </c>
    </row>
    <row r="40" spans="2:11" x14ac:dyDescent="0.35">
      <c r="B40" s="140">
        <v>133</v>
      </c>
      <c r="C40" s="140" t="s">
        <v>13</v>
      </c>
      <c r="D40" s="140" t="s">
        <v>13</v>
      </c>
      <c r="E40" s="140" t="s">
        <v>32</v>
      </c>
      <c r="F40" s="140" t="s">
        <v>15</v>
      </c>
      <c r="G40" s="141" t="s">
        <v>81</v>
      </c>
      <c r="H40" s="140">
        <v>180</v>
      </c>
      <c r="I40" s="142" t="s">
        <v>37</v>
      </c>
      <c r="J40" s="140" t="s">
        <v>31</v>
      </c>
      <c r="K40" s="140" t="s">
        <v>48</v>
      </c>
    </row>
    <row r="41" spans="2:11" x14ac:dyDescent="0.35">
      <c r="B41" s="146">
        <v>134</v>
      </c>
      <c r="C41" s="140" t="s">
        <v>13</v>
      </c>
      <c r="D41" s="140" t="s">
        <v>13</v>
      </c>
      <c r="E41" s="140" t="s">
        <v>34</v>
      </c>
      <c r="F41" s="140" t="s">
        <v>15</v>
      </c>
      <c r="G41" s="141" t="s">
        <v>81</v>
      </c>
      <c r="H41" s="140">
        <v>210</v>
      </c>
      <c r="I41" s="142" t="s">
        <v>84</v>
      </c>
      <c r="J41" s="140" t="s">
        <v>18</v>
      </c>
      <c r="K41" s="140" t="s">
        <v>40</v>
      </c>
    </row>
    <row r="42" spans="2:11" x14ac:dyDescent="0.35">
      <c r="B42" s="140">
        <v>135</v>
      </c>
      <c r="C42" s="143" t="s">
        <v>13</v>
      </c>
      <c r="D42" s="143" t="s">
        <v>13</v>
      </c>
      <c r="E42" s="143" t="s">
        <v>38</v>
      </c>
      <c r="F42" s="143" t="s">
        <v>15</v>
      </c>
      <c r="G42" s="141" t="s">
        <v>81</v>
      </c>
      <c r="H42" s="143">
        <v>300</v>
      </c>
      <c r="I42" s="145" t="s">
        <v>85</v>
      </c>
      <c r="J42" s="143" t="s">
        <v>18</v>
      </c>
      <c r="K42" s="143" t="s">
        <v>86</v>
      </c>
    </row>
  </sheetData>
  <sheetProtection algorithmName="SHA-512" hashValue="uIW0gH/4NGRQpAjqBdjl8D1ZJTcLhrASwdDXPXkfE3ChKO7TXlPlVv0WyUUWO4kNz8zq96dd9cpsjxItOV03sQ==" saltValue="6PQjfonJZj/ylhW0OopQzA==" spinCount="100000" sheet="1" selectLockedCells="1"/>
  <mergeCells count="5">
    <mergeCell ref="M6:M9"/>
    <mergeCell ref="B3:G3"/>
    <mergeCell ref="L6:L9"/>
    <mergeCell ref="I3:K3"/>
    <mergeCell ref="B5:K5"/>
  </mergeCells>
  <phoneticPr fontId="6" type="noConversion"/>
  <dataValidations count="1">
    <dataValidation type="list" allowBlank="1" showInputMessage="1" showErrorMessage="1" sqref="H3" xr:uid="{1D4E11F8-7BAA-4D55-B419-D664F1F0F1F8}">
      <formula1>$B$7:$B$42</formula1>
    </dataValidation>
  </dataValidations>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0E19B-BBC3-4FBE-9322-3C16DC5CF7F4}">
  <sheetPr codeName="Sheet2">
    <tabColor rgb="FFFFFF00"/>
    <pageSetUpPr autoPageBreaks="0"/>
  </sheetPr>
  <dimension ref="A1:AH72"/>
  <sheetViews>
    <sheetView showGridLines="0" zoomScale="85" zoomScaleNormal="85" workbookViewId="0">
      <selection activeCell="D32" sqref="D32"/>
    </sheetView>
  </sheetViews>
  <sheetFormatPr defaultColWidth="9" defaultRowHeight="14.5" x14ac:dyDescent="0.35"/>
  <cols>
    <col min="1" max="1" width="9" style="16"/>
    <col min="2" max="2" width="66.26953125" style="16" bestFit="1" customWidth="1"/>
    <col min="3" max="3" width="23" style="16" bestFit="1" customWidth="1"/>
    <col min="4" max="4" width="28.7265625" style="16" bestFit="1" customWidth="1"/>
    <col min="5" max="5" width="7" style="16" bestFit="1" customWidth="1"/>
    <col min="6" max="6" width="51.453125" style="16" bestFit="1" customWidth="1"/>
    <col min="7" max="7" width="8.26953125" style="18" bestFit="1" customWidth="1"/>
    <col min="8" max="12" width="8.26953125" style="16" bestFit="1" customWidth="1"/>
    <col min="13" max="15" width="7" style="16" bestFit="1" customWidth="1"/>
    <col min="16" max="16" width="9" style="16"/>
    <col min="17" max="17" width="11" style="16" bestFit="1" customWidth="1"/>
    <col min="18" max="18" width="15" style="16" customWidth="1"/>
    <col min="19" max="19" width="14.54296875" style="16" bestFit="1" customWidth="1"/>
    <col min="20" max="20" width="11.7265625" style="16" bestFit="1" customWidth="1"/>
    <col min="21" max="25" width="9" style="16"/>
    <col min="26" max="26" width="11" style="16" customWidth="1"/>
    <col min="27" max="27" width="9" style="16"/>
    <col min="28" max="28" width="23.26953125" style="16" customWidth="1"/>
    <col min="29" max="29" width="12.7265625" style="16" customWidth="1"/>
    <col min="30" max="30" width="23.26953125" style="16" customWidth="1"/>
    <col min="31" max="16384" width="9" style="16"/>
  </cols>
  <sheetData>
    <row r="1" spans="2:7" ht="26" x14ac:dyDescent="0.6">
      <c r="B1" s="77" t="s">
        <v>87</v>
      </c>
      <c r="D1" s="78"/>
    </row>
    <row r="3" spans="2:7" ht="15.5" x14ac:dyDescent="0.35">
      <c r="B3" s="79" t="s">
        <v>88</v>
      </c>
      <c r="C3" s="80"/>
      <c r="D3" s="80"/>
      <c r="E3" s="80"/>
      <c r="F3" s="80" t="s">
        <v>89</v>
      </c>
      <c r="G3" s="81"/>
    </row>
    <row r="4" spans="2:7" x14ac:dyDescent="0.35">
      <c r="B4" s="16" t="s">
        <v>90</v>
      </c>
      <c r="D4" s="73"/>
      <c r="F4" s="19"/>
    </row>
    <row r="5" spans="2:7" x14ac:dyDescent="0.35">
      <c r="B5" s="16" t="s">
        <v>91</v>
      </c>
      <c r="D5" s="73"/>
    </row>
    <row r="6" spans="2:7" x14ac:dyDescent="0.35">
      <c r="D6"/>
    </row>
    <row r="7" spans="2:7" ht="15.5" x14ac:dyDescent="0.35">
      <c r="B7" s="152" t="s">
        <v>92</v>
      </c>
      <c r="C7" s="151"/>
      <c r="D7" s="151"/>
      <c r="E7" s="151"/>
      <c r="F7" s="17"/>
      <c r="G7" s="82"/>
    </row>
    <row r="8" spans="2:7" x14ac:dyDescent="0.35">
      <c r="B8" s="16" t="s">
        <v>93</v>
      </c>
      <c r="D8" s="83">
        <f>'Select System'!H3</f>
        <v>100</v>
      </c>
    </row>
    <row r="9" spans="2:7" x14ac:dyDescent="0.35">
      <c r="B9" s="16" t="s">
        <v>94</v>
      </c>
      <c r="D9" s="84" t="str">
        <f>INDEX(Smart_HW_entries[Manufacturer],MATCH(Sys_Idx,Smart_HW_entries[Index no.],0))</f>
        <v>Unknown</v>
      </c>
    </row>
    <row r="10" spans="2:7" x14ac:dyDescent="0.35">
      <c r="B10" s="16" t="s">
        <v>95</v>
      </c>
      <c r="D10" s="20" t="str">
        <f>INDEX('Select System'!$B$7:$I$42,MATCH($D$8,'Select System'!$B$7:$B$42,0),3)</f>
        <v>Unknown</v>
      </c>
    </row>
    <row r="11" spans="2:7" x14ac:dyDescent="0.35">
      <c r="B11" s="16" t="s">
        <v>96</v>
      </c>
      <c r="D11" s="20" t="str">
        <f>INDEX('Select System'!$B$7:$I$42,MATCH($D$8,'Select System'!$B$7:$B$42,0),4)</f>
        <v>Unknown</v>
      </c>
    </row>
    <row r="12" spans="2:7" x14ac:dyDescent="0.35">
      <c r="B12" s="16" t="s">
        <v>97</v>
      </c>
      <c r="D12" s="20" t="str">
        <f>IF(INDEX('Select System'!$B$7:$I$42,MATCH($D$8,'Select System'!$B$7:$B$42,0),5)="","",INDEX('Select System'!$B$7:$I$42,MATCH($D$8,'Select System'!$B$7:$B$42,0),5))</f>
        <v>Unknown</v>
      </c>
    </row>
    <row r="13" spans="2:7" x14ac:dyDescent="0.35">
      <c r="B13" s="16" t="s">
        <v>7</v>
      </c>
      <c r="D13" s="20" t="str">
        <f>INDEX('Select System'!$B$7:$I$42,MATCH($D$8,'Select System'!$B$7:$B$42,0),6)</f>
        <v>Unknown</v>
      </c>
    </row>
    <row r="14" spans="2:7" x14ac:dyDescent="0.35">
      <c r="B14" s="16" t="s">
        <v>8</v>
      </c>
      <c r="D14" s="20" t="str">
        <f>INDEX('Select System'!$B$7:$I$42,MATCH($D$8,'Select System'!$B$7:$B$42,0),7)</f>
        <v>Unknown</v>
      </c>
    </row>
    <row r="15" spans="2:7" x14ac:dyDescent="0.35">
      <c r="D15" s="84"/>
    </row>
    <row r="16" spans="2:7" ht="15.5" x14ac:dyDescent="0.35">
      <c r="B16" s="151" t="s">
        <v>98</v>
      </c>
      <c r="C16" s="151"/>
      <c r="D16" s="151"/>
      <c r="E16" s="151"/>
      <c r="F16" s="17"/>
      <c r="G16" s="82"/>
    </row>
    <row r="17" spans="1:17" ht="43.5" x14ac:dyDescent="0.35">
      <c r="B17" s="85" t="s">
        <v>99</v>
      </c>
      <c r="D17" s="73"/>
      <c r="F17" s="86" t="str">
        <f>IF(checklist_yn=Dropdowns!F4,"","Installation and commissioning checklists must been completed and signed")</f>
        <v>Installation and commissioning checklists must been completed and signed</v>
      </c>
    </row>
    <row r="18" spans="1:17" x14ac:dyDescent="0.35">
      <c r="D18" s="4"/>
    </row>
    <row r="19" spans="1:17" ht="15.5" x14ac:dyDescent="0.35">
      <c r="B19" s="151" t="s">
        <v>100</v>
      </c>
      <c r="C19" s="151"/>
      <c r="D19" s="151"/>
      <c r="E19" s="151"/>
      <c r="F19" s="17"/>
      <c r="G19" s="82"/>
    </row>
    <row r="20" spans="1:17" x14ac:dyDescent="0.35">
      <c r="B20" s="16" t="s">
        <v>101</v>
      </c>
      <c r="D20" s="4" t="str" cm="1">
        <f t="array" ref="D20">INDEX(Smart_HW_entries[],MATCH($D$8,Smart_HW_entries[Index no.],0),IF(sap_type=full_sap,8,10))</f>
        <v>Unknown</v>
      </c>
    </row>
    <row r="21" spans="1:17" x14ac:dyDescent="0.35">
      <c r="D21" s="4"/>
    </row>
    <row r="22" spans="1:17" ht="31" x14ac:dyDescent="0.35">
      <c r="B22" s="87" t="s">
        <v>102</v>
      </c>
      <c r="C22" s="88" t="s">
        <v>103</v>
      </c>
      <c r="D22" s="17"/>
      <c r="E22" s="17"/>
      <c r="F22" s="80" t="s">
        <v>89</v>
      </c>
      <c r="G22" s="17"/>
    </row>
    <row r="23" spans="1:17" x14ac:dyDescent="0.35">
      <c r="B23" s="16" t="s">
        <v>104</v>
      </c>
      <c r="C23" s="18" t="s">
        <v>105</v>
      </c>
      <c r="D23" s="73"/>
      <c r="F23" s="86"/>
      <c r="G23" s="16"/>
    </row>
    <row r="24" spans="1:17" ht="16.5" x14ac:dyDescent="0.35">
      <c r="B24" s="128" t="s">
        <v>106</v>
      </c>
      <c r="C24" s="129" t="s">
        <v>107</v>
      </c>
      <c r="D24" s="130"/>
      <c r="E24" s="128" t="s">
        <v>108</v>
      </c>
      <c r="F24" s="86"/>
      <c r="G24" s="16"/>
    </row>
    <row r="25" spans="1:17" x14ac:dyDescent="0.35">
      <c r="B25" s="16" t="s">
        <v>109</v>
      </c>
      <c r="C25" s="18" t="s">
        <v>105</v>
      </c>
      <c r="D25" s="73"/>
      <c r="E25" s="16" t="s">
        <v>110</v>
      </c>
      <c r="F25" s="86"/>
      <c r="G25" s="16"/>
    </row>
    <row r="26" spans="1:17" x14ac:dyDescent="0.35">
      <c r="B26" s="16" t="s">
        <v>111</v>
      </c>
      <c r="C26" s="89" t="s">
        <v>112</v>
      </c>
      <c r="D26" s="74"/>
      <c r="E26" s="74"/>
      <c r="F26" s="74"/>
      <c r="G26" s="74"/>
      <c r="H26" s="74"/>
      <c r="I26" s="74"/>
      <c r="J26" s="74"/>
      <c r="K26" s="74"/>
      <c r="L26" s="74"/>
      <c r="M26" s="74"/>
      <c r="N26" s="74"/>
      <c r="O26" s="74"/>
      <c r="P26" s="16" t="s">
        <v>113</v>
      </c>
      <c r="Q26" s="86" t="s">
        <v>114</v>
      </c>
    </row>
    <row r="27" spans="1:17" ht="13.9" customHeight="1" x14ac:dyDescent="0.35">
      <c r="B27" s="16" t="s">
        <v>115</v>
      </c>
      <c r="C27" s="18" t="s">
        <v>105</v>
      </c>
      <c r="D27" s="73"/>
      <c r="F27" s="86"/>
      <c r="G27" s="16"/>
    </row>
    <row r="28" spans="1:17" x14ac:dyDescent="0.35">
      <c r="B28" s="16" t="s">
        <v>116</v>
      </c>
      <c r="C28" s="18" t="s">
        <v>105</v>
      </c>
      <c r="D28" s="73"/>
      <c r="F28" s="86"/>
      <c r="G28" s="16"/>
    </row>
    <row r="29" spans="1:17" x14ac:dyDescent="0.35">
      <c r="B29" s="16" t="s">
        <v>117</v>
      </c>
      <c r="C29" s="18" t="s">
        <v>105</v>
      </c>
      <c r="D29" s="73"/>
      <c r="F29" s="86" t="str">
        <f>IF(OR(water_heat_sys=gas_sys,water_heat_sys=oil_sys,water_heat_sys=solid_sys),"Select water heating fuel, must not be NA",IF(AND(NOT((OR(water_heat_sys=gas_sys,water_heat_sys=oil_sys,water_heat_sys=solid_sys))),water_heat_fuel=NA),"","Water heating fuel can be left blank or select NA"))</f>
        <v>Water heating fuel can be left blank or select NA</v>
      </c>
      <c r="G29" s="16"/>
    </row>
    <row r="30" spans="1:17" x14ac:dyDescent="0.35">
      <c r="B30" s="16" t="s">
        <v>118</v>
      </c>
      <c r="C30" s="89" t="s">
        <v>119</v>
      </c>
      <c r="D30" s="73"/>
      <c r="E30" s="16" t="s">
        <v>120</v>
      </c>
      <c r="F30" s="86" t="str">
        <f>IF(AND(OR(water_heat_sys=heat_pump1,water_heat_sys=heatpump2),water_heat_eff&lt;=100),"Heat pump efficiency must be greater than 100%","")</f>
        <v/>
      </c>
      <c r="G30" s="16"/>
    </row>
    <row r="31" spans="1:17" ht="15" customHeight="1" x14ac:dyDescent="0.35">
      <c r="B31" s="16" t="s">
        <v>121</v>
      </c>
      <c r="C31" s="18" t="s">
        <v>122</v>
      </c>
      <c r="D31" s="112"/>
      <c r="E31" s="112"/>
      <c r="F31" s="112"/>
      <c r="G31" s="112"/>
      <c r="H31" s="112"/>
      <c r="I31" s="112"/>
      <c r="J31" s="112"/>
      <c r="K31" s="112"/>
      <c r="L31" s="112"/>
      <c r="M31" s="112"/>
      <c r="N31" s="112"/>
      <c r="O31" s="112"/>
      <c r="P31" s="16" t="s">
        <v>113</v>
      </c>
    </row>
    <row r="32" spans="1:17" x14ac:dyDescent="0.35">
      <c r="A32" s="21"/>
      <c r="B32" s="16" t="s">
        <v>123</v>
      </c>
      <c r="C32" s="18" t="s">
        <v>124</v>
      </c>
      <c r="D32" s="112"/>
      <c r="E32" s="112"/>
      <c r="F32" s="112"/>
      <c r="G32" s="112"/>
      <c r="H32" s="112"/>
      <c r="I32" s="112"/>
      <c r="J32" s="112"/>
      <c r="K32" s="112"/>
      <c r="L32" s="112"/>
      <c r="M32" s="112"/>
      <c r="N32" s="112"/>
      <c r="O32" s="112"/>
      <c r="P32" s="16" t="s">
        <v>113</v>
      </c>
    </row>
    <row r="33" spans="1:34" x14ac:dyDescent="0.35">
      <c r="A33" s="21"/>
      <c r="B33" s="16" t="s">
        <v>125</v>
      </c>
      <c r="C33" s="18" t="s">
        <v>126</v>
      </c>
      <c r="D33" s="112"/>
      <c r="E33" s="112"/>
      <c r="F33" s="112"/>
      <c r="G33" s="112"/>
      <c r="H33" s="112"/>
      <c r="I33" s="112"/>
      <c r="J33" s="112"/>
      <c r="K33" s="112"/>
      <c r="L33" s="112"/>
      <c r="M33" s="112"/>
      <c r="N33" s="112"/>
      <c r="O33" s="112"/>
      <c r="P33" s="16" t="s">
        <v>113</v>
      </c>
    </row>
    <row r="34" spans="1:34" customFormat="1" x14ac:dyDescent="0.35">
      <c r="A34" s="111"/>
      <c r="C34" s="3"/>
      <c r="D34" s="58"/>
      <c r="E34" s="58"/>
      <c r="F34" s="58"/>
      <c r="G34" s="58"/>
      <c r="H34" s="58"/>
      <c r="I34" s="58"/>
      <c r="J34" s="58"/>
      <c r="K34" s="58"/>
      <c r="L34" s="58"/>
      <c r="M34" s="58"/>
      <c r="N34" s="58"/>
      <c r="O34" s="58"/>
    </row>
    <row r="35" spans="1:34" x14ac:dyDescent="0.35">
      <c r="A35" s="21"/>
      <c r="B35" s="159" t="s">
        <v>127</v>
      </c>
      <c r="C35" s="160"/>
      <c r="D35" s="160"/>
      <c r="E35" s="161"/>
    </row>
    <row r="36" spans="1:34" x14ac:dyDescent="0.35">
      <c r="B36" s="162"/>
      <c r="C36" s="163"/>
      <c r="D36" s="163"/>
      <c r="E36" s="164"/>
    </row>
    <row r="37" spans="1:34" ht="37.15" customHeight="1" x14ac:dyDescent="0.35">
      <c r="A37" s="85"/>
      <c r="B37" s="165"/>
      <c r="C37" s="166"/>
      <c r="D37" s="166"/>
      <c r="E37" s="167"/>
      <c r="H37" s="70"/>
      <c r="I37" s="70"/>
      <c r="J37" s="70"/>
      <c r="K37" s="70"/>
      <c r="L37" s="70"/>
      <c r="M37" s="70"/>
      <c r="N37" s="70"/>
      <c r="O37"/>
      <c r="P37"/>
      <c r="Q37" s="70"/>
      <c r="R37" s="70"/>
      <c r="S37" s="70"/>
      <c r="T37" s="18"/>
    </row>
    <row r="38" spans="1:34" x14ac:dyDescent="0.35">
      <c r="A38" s="85"/>
      <c r="B38" s="90" t="s">
        <v>128</v>
      </c>
      <c r="C38" s="91"/>
      <c r="D38" s="91"/>
      <c r="E38" s="92"/>
      <c r="G38" s="70"/>
      <c r="H38" s="70"/>
      <c r="I38" s="70"/>
      <c r="J38" s="70"/>
      <c r="K38" s="70"/>
      <c r="L38" s="70"/>
      <c r="M38" s="70"/>
      <c r="N38" s="70"/>
      <c r="O38"/>
      <c r="P38"/>
      <c r="Q38" s="70"/>
      <c r="R38" s="70"/>
      <c r="S38" s="70"/>
      <c r="T38" s="18"/>
    </row>
    <row r="39" spans="1:34" x14ac:dyDescent="0.35">
      <c r="A39" s="85"/>
      <c r="B39" s="153" t="str">
        <f>IF(ISNA(MATCH(TRUE,J63:J73,0)),"",INDEX(L63:L73,MATCH(TRUE,J63:J73,0)))</f>
        <v/>
      </c>
      <c r="C39" s="154"/>
      <c r="D39" s="154"/>
      <c r="E39" s="155"/>
      <c r="G39" s="4"/>
      <c r="H39" s="4"/>
      <c r="I39" s="4"/>
      <c r="J39" s="4"/>
      <c r="K39" s="4"/>
      <c r="L39" s="4"/>
      <c r="M39" s="4"/>
      <c r="N39" s="4"/>
      <c r="O39" s="4"/>
      <c r="P39" s="4"/>
      <c r="Q39" s="4"/>
      <c r="R39" s="4"/>
      <c r="S39"/>
    </row>
    <row r="40" spans="1:34" ht="31.5" customHeight="1" x14ac:dyDescent="0.35">
      <c r="A40" s="85"/>
      <c r="B40" s="156"/>
      <c r="C40" s="157"/>
      <c r="D40" s="157"/>
      <c r="E40" s="158"/>
      <c r="G40" s="70"/>
      <c r="H40" s="70"/>
      <c r="I40" s="70"/>
      <c r="J40" s="70"/>
      <c r="K40" s="70"/>
      <c r="L40" s="70"/>
      <c r="M40" s="70"/>
      <c r="N40" s="70"/>
      <c r="O40" s="70"/>
      <c r="P40" s="70"/>
      <c r="Q40" s="70"/>
      <c r="R40" s="70"/>
      <c r="S40" s="70"/>
      <c r="T40" s="18"/>
    </row>
    <row r="41" spans="1:34" x14ac:dyDescent="0.35">
      <c r="A41" s="85"/>
      <c r="G41" s="70"/>
      <c r="H41"/>
      <c r="I41"/>
      <c r="J41"/>
      <c r="K41"/>
      <c r="L41"/>
      <c r="M41"/>
      <c r="N41"/>
      <c r="O41"/>
      <c r="P41"/>
      <c r="Q41"/>
      <c r="R41"/>
      <c r="S41"/>
    </row>
    <row r="42" spans="1:34" x14ac:dyDescent="0.35">
      <c r="A42" s="85"/>
    </row>
    <row r="43" spans="1:34" x14ac:dyDescent="0.35">
      <c r="A43" s="85"/>
    </row>
    <row r="44" spans="1:34" x14ac:dyDescent="0.35">
      <c r="G44" s="16"/>
      <c r="V44" s="64"/>
      <c r="W44" s="93"/>
      <c r="X44" s="93"/>
      <c r="Y44" s="93"/>
      <c r="Z44" s="93"/>
      <c r="AA44" s="93"/>
      <c r="AB44" s="93"/>
      <c r="AC44" s="93"/>
      <c r="AD44" s="93"/>
      <c r="AE44" s="93"/>
      <c r="AF44" s="93"/>
      <c r="AG44" s="93"/>
      <c r="AH44" s="93"/>
    </row>
    <row r="45" spans="1:34" x14ac:dyDescent="0.35">
      <c r="V45" s="8"/>
      <c r="W45" s="93"/>
      <c r="X45" s="93"/>
      <c r="Y45" s="93"/>
      <c r="Z45" s="93"/>
      <c r="AA45" s="93"/>
      <c r="AB45" s="93"/>
      <c r="AC45" s="93"/>
      <c r="AD45" s="93"/>
      <c r="AE45" s="93"/>
      <c r="AF45" s="93"/>
      <c r="AG45" s="93"/>
      <c r="AH45" s="93"/>
    </row>
    <row r="46" spans="1:34" x14ac:dyDescent="0.35">
      <c r="V46" s="8"/>
      <c r="W46" s="63"/>
      <c r="X46" s="63"/>
      <c r="Y46" s="63"/>
      <c r="Z46" s="63"/>
      <c r="AA46" s="63"/>
      <c r="AB46" s="63"/>
      <c r="AC46" s="63"/>
      <c r="AD46" s="63"/>
      <c r="AE46" s="63"/>
      <c r="AF46" s="63"/>
      <c r="AG46" s="63"/>
      <c r="AH46" s="63"/>
    </row>
    <row r="47" spans="1:34" x14ac:dyDescent="0.35">
      <c r="V47" s="8"/>
      <c r="W47" s="63"/>
      <c r="X47" s="63"/>
      <c r="Y47" s="63"/>
      <c r="Z47" s="63"/>
      <c r="AA47" s="63"/>
      <c r="AB47" s="63"/>
      <c r="AC47" s="63"/>
      <c r="AD47" s="63"/>
      <c r="AE47" s="63"/>
      <c r="AF47" s="63"/>
      <c r="AG47" s="63"/>
      <c r="AH47" s="63"/>
    </row>
    <row r="48" spans="1:34" ht="15" customHeight="1" x14ac:dyDescent="0.35">
      <c r="V48" s="8"/>
      <c r="W48" s="63"/>
      <c r="X48" s="63"/>
      <c r="Y48" s="63"/>
      <c r="Z48" s="63"/>
      <c r="AA48" s="63"/>
      <c r="AB48" s="63"/>
      <c r="AC48" s="63"/>
      <c r="AD48" s="63"/>
      <c r="AE48" s="63"/>
      <c r="AF48" s="63"/>
      <c r="AG48" s="63"/>
      <c r="AH48" s="63"/>
    </row>
    <row r="49" spans="17:34" x14ac:dyDescent="0.35">
      <c r="V49" s="8"/>
      <c r="W49" s="63"/>
      <c r="X49" s="63"/>
      <c r="Y49" s="63"/>
      <c r="Z49" s="63"/>
      <c r="AA49" s="63"/>
      <c r="AB49" s="63"/>
      <c r="AC49" s="63"/>
      <c r="AD49" s="63"/>
      <c r="AE49" s="63"/>
      <c r="AF49" s="63"/>
      <c r="AG49" s="63"/>
      <c r="AH49" s="63"/>
    </row>
    <row r="50" spans="17:34" ht="14.25" customHeight="1" x14ac:dyDescent="0.35">
      <c r="V50" s="8"/>
      <c r="W50" s="8"/>
      <c r="X50" s="8"/>
      <c r="Y50" s="8"/>
      <c r="Z50" s="8"/>
      <c r="AA50" s="8"/>
      <c r="AB50" s="8"/>
      <c r="AC50" s="8"/>
      <c r="AD50" s="8"/>
      <c r="AE50" s="8"/>
      <c r="AF50" s="8"/>
      <c r="AG50" s="8"/>
      <c r="AH50" s="8"/>
    </row>
    <row r="51" spans="17:34" x14ac:dyDescent="0.35">
      <c r="V51" s="8"/>
      <c r="W51" s="8"/>
      <c r="X51" s="8"/>
      <c r="Y51" s="8"/>
      <c r="Z51" s="8"/>
      <c r="AA51" s="8"/>
      <c r="AB51" s="8"/>
      <c r="AC51" s="8"/>
      <c r="AD51" s="8"/>
      <c r="AE51" s="8"/>
      <c r="AF51" s="8"/>
      <c r="AG51" s="8"/>
      <c r="AH51" s="8"/>
    </row>
    <row r="52" spans="17:34" x14ac:dyDescent="0.35">
      <c r="V52" s="8"/>
      <c r="W52" s="63"/>
      <c r="X52" s="63"/>
      <c r="Y52" s="63"/>
      <c r="Z52" s="63"/>
      <c r="AA52" s="63"/>
      <c r="AB52" s="63"/>
      <c r="AC52" s="63"/>
      <c r="AD52" s="63"/>
      <c r="AE52" s="63"/>
      <c r="AF52" s="63"/>
      <c r="AG52" s="63"/>
      <c r="AH52" s="63"/>
    </row>
    <row r="53" spans="17:34" ht="14.65" customHeight="1" x14ac:dyDescent="0.35">
      <c r="V53" s="8"/>
      <c r="W53" s="8"/>
      <c r="X53" s="8"/>
      <c r="Y53" s="8"/>
      <c r="Z53" s="8"/>
      <c r="AA53" s="8"/>
      <c r="AB53" s="8"/>
      <c r="AC53" s="8"/>
      <c r="AD53" s="8"/>
      <c r="AE53" s="8"/>
      <c r="AF53" s="8"/>
      <c r="AG53" s="8"/>
      <c r="AH53" s="8"/>
    </row>
    <row r="54" spans="17:34" ht="14.65" customHeight="1" x14ac:dyDescent="0.35">
      <c r="V54" s="8"/>
      <c r="W54" s="8"/>
      <c r="X54" s="8"/>
      <c r="Y54" s="8"/>
      <c r="Z54" s="8"/>
      <c r="AA54" s="8"/>
      <c r="AB54" s="8"/>
      <c r="AC54" s="8"/>
      <c r="AD54" s="8"/>
      <c r="AE54" s="8"/>
      <c r="AF54" s="8"/>
      <c r="AG54" s="8"/>
      <c r="AH54" s="8"/>
    </row>
    <row r="55" spans="17:34" x14ac:dyDescent="0.35">
      <c r="V55" s="7"/>
      <c r="W55" s="8"/>
      <c r="X55" s="8"/>
      <c r="Y55" s="8"/>
      <c r="Z55" s="8"/>
      <c r="AA55" s="8"/>
      <c r="AB55" s="8"/>
      <c r="AC55" s="8"/>
      <c r="AD55" s="8"/>
      <c r="AE55" s="8"/>
      <c r="AF55" s="8"/>
      <c r="AG55" s="8"/>
      <c r="AH55" s="8"/>
    </row>
    <row r="56" spans="17:34" x14ac:dyDescent="0.35">
      <c r="V56" s="7"/>
      <c r="W56" s="8"/>
      <c r="X56" s="8"/>
      <c r="Y56" s="8"/>
      <c r="Z56" s="8"/>
      <c r="AA56" s="8"/>
      <c r="AB56" s="8"/>
      <c r="AC56" s="8"/>
      <c r="AD56" s="8"/>
      <c r="AE56" s="8"/>
      <c r="AF56" s="8"/>
      <c r="AG56" s="8"/>
      <c r="AH56" s="8"/>
    </row>
    <row r="57" spans="17:34" ht="14.25" customHeight="1" x14ac:dyDescent="0.35">
      <c r="V57" s="8"/>
      <c r="W57" s="8"/>
      <c r="X57" s="8"/>
      <c r="Y57" s="8"/>
      <c r="Z57" s="8"/>
      <c r="AA57" s="8"/>
      <c r="AB57" s="8"/>
      <c r="AC57" s="8"/>
      <c r="AD57" s="8"/>
      <c r="AE57" s="8"/>
      <c r="AF57" s="8"/>
      <c r="AG57" s="8"/>
      <c r="AH57" s="8"/>
    </row>
    <row r="58" spans="17:34" x14ac:dyDescent="0.35">
      <c r="V58" s="8"/>
      <c r="W58" s="8"/>
      <c r="X58" s="8"/>
      <c r="Y58" s="8"/>
      <c r="Z58" s="8"/>
      <c r="AA58" s="8"/>
      <c r="AB58" s="8"/>
      <c r="AC58" s="8"/>
      <c r="AD58" s="8"/>
      <c r="AE58" s="8"/>
      <c r="AF58" s="8"/>
      <c r="AG58" s="8"/>
      <c r="AH58" s="8"/>
    </row>
    <row r="59" spans="17:34" x14ac:dyDescent="0.35">
      <c r="V59" s="8"/>
      <c r="W59" s="63"/>
      <c r="X59" s="63"/>
      <c r="Y59" s="63"/>
      <c r="Z59" s="63"/>
      <c r="AA59" s="63"/>
      <c r="AB59" s="63"/>
      <c r="AC59" s="63"/>
      <c r="AD59" s="63"/>
      <c r="AE59" s="63"/>
      <c r="AF59" s="63"/>
      <c r="AG59" s="63"/>
      <c r="AH59" s="63"/>
    </row>
    <row r="60" spans="17:34" x14ac:dyDescent="0.35">
      <c r="V60" s="8"/>
      <c r="W60" s="63"/>
      <c r="X60" s="63"/>
      <c r="Y60" s="63"/>
      <c r="Z60" s="63"/>
      <c r="AA60" s="63"/>
      <c r="AB60" s="63"/>
      <c r="AC60" s="63"/>
      <c r="AD60" s="63"/>
      <c r="AE60" s="63"/>
      <c r="AF60" s="63"/>
      <c r="AG60" s="63"/>
      <c r="AH60" s="63"/>
    </row>
    <row r="61" spans="17:34" x14ac:dyDescent="0.35">
      <c r="V61" s="8"/>
      <c r="W61" s="63"/>
      <c r="X61" s="63"/>
      <c r="Y61" s="63"/>
      <c r="Z61" s="63"/>
      <c r="AA61" s="63"/>
      <c r="AB61" s="63"/>
      <c r="AC61" s="63"/>
      <c r="AD61" s="63"/>
      <c r="AE61" s="63"/>
      <c r="AF61" s="63"/>
      <c r="AG61" s="63"/>
      <c r="AH61" s="63"/>
    </row>
    <row r="62" spans="17:34" x14ac:dyDescent="0.35">
      <c r="Q62" s="94" t="s">
        <v>129</v>
      </c>
      <c r="R62" s="95"/>
      <c r="S62" s="96" t="s">
        <v>130</v>
      </c>
      <c r="V62" s="8"/>
      <c r="W62" s="63"/>
      <c r="X62" s="63"/>
      <c r="Y62" s="63"/>
      <c r="Z62" s="63"/>
      <c r="AA62" s="63"/>
      <c r="AB62" s="63"/>
      <c r="AC62" s="63"/>
      <c r="AD62" s="63"/>
      <c r="AE62" s="63"/>
      <c r="AF62" s="63"/>
      <c r="AG62" s="63"/>
      <c r="AH62" s="63"/>
    </row>
    <row r="63" spans="17:34" x14ac:dyDescent="0.35">
      <c r="Q63" s="96" t="b">
        <f>D8=100</f>
        <v>1</v>
      </c>
      <c r="R63" s="97"/>
      <c r="S63" s="96" t="s">
        <v>131</v>
      </c>
      <c r="V63" s="8"/>
      <c r="W63" s="63"/>
      <c r="X63" s="63"/>
      <c r="Y63" s="63"/>
      <c r="Z63" s="63"/>
      <c r="AA63" s="63"/>
      <c r="AB63" s="63"/>
      <c r="AC63" s="63"/>
      <c r="AD63" s="63"/>
      <c r="AE63" s="63"/>
      <c r="AF63" s="63"/>
      <c r="AG63" s="63"/>
      <c r="AH63" s="63"/>
    </row>
    <row r="64" spans="17:34" x14ac:dyDescent="0.35">
      <c r="Q64" s="96" t="b">
        <f>IF(checklist_yn=Dropdowns!F4, FALSE,TRUE)</f>
        <v>1</v>
      </c>
      <c r="R64" s="97"/>
      <c r="S64" s="96" t="s">
        <v>132</v>
      </c>
      <c r="V64" s="8"/>
      <c r="W64" s="63"/>
      <c r="X64" s="63"/>
      <c r="Y64" s="63"/>
      <c r="Z64" s="63"/>
      <c r="AA64" s="63"/>
      <c r="AB64" s="63"/>
      <c r="AC64" s="63"/>
      <c r="AD64" s="63"/>
      <c r="AE64" s="63"/>
      <c r="AF64" s="63"/>
      <c r="AG64" s="63"/>
      <c r="AH64" s="63"/>
    </row>
    <row r="65" spans="9:34" x14ac:dyDescent="0.35">
      <c r="Q65" s="96" t="b">
        <f>IF(COUNTIF(D4:D5,"")+COUNTIF(D23:D27,"")+COUNTIF(D17,"")+COUNTIF(D28:D30,"")+COUNTIF(D31:D31,""),TRUE,FALSE)</f>
        <v>1</v>
      </c>
      <c r="R65" s="98"/>
      <c r="S65" s="96" t="s">
        <v>133</v>
      </c>
      <c r="V65" s="8"/>
      <c r="W65" s="63"/>
      <c r="X65" s="63"/>
      <c r="Y65" s="63"/>
      <c r="Z65" s="63"/>
      <c r="AA65" s="63"/>
      <c r="AB65" s="63"/>
      <c r="AC65" s="63"/>
      <c r="AD65" s="63"/>
      <c r="AE65" s="63"/>
      <c r="AF65" s="63"/>
      <c r="AG65" s="63"/>
      <c r="AH65" s="63"/>
    </row>
    <row r="66" spans="9:34" x14ac:dyDescent="0.35">
      <c r="Q66" s="96" t="b">
        <f>IF(diverter_present=Dropdowns!F4, FALSE,TRUE)</f>
        <v>1</v>
      </c>
      <c r="R66" s="97"/>
      <c r="S66" s="96" t="s">
        <v>134</v>
      </c>
      <c r="V66" s="8"/>
      <c r="W66" s="63"/>
      <c r="X66" s="63"/>
      <c r="Y66" s="63"/>
      <c r="Z66" s="63"/>
      <c r="AA66" s="63"/>
      <c r="AB66" s="63"/>
      <c r="AC66" s="63"/>
      <c r="AD66" s="63"/>
      <c r="AE66" s="63"/>
      <c r="AF66" s="63"/>
      <c r="AG66" s="63"/>
      <c r="AH66" s="63"/>
    </row>
    <row r="67" spans="9:34" x14ac:dyDescent="0.35">
      <c r="Q67" s="99" t="b">
        <f>IF(AND(NOT(main_space_sys1=Non_electric_system),ISBLANK(main_space_fuel_elec)),TRUE, FALSE)</f>
        <v>0</v>
      </c>
      <c r="R67" s="100"/>
      <c r="S67" s="101" t="s">
        <v>135</v>
      </c>
      <c r="V67" s="8"/>
      <c r="W67" s="63"/>
      <c r="X67" s="63"/>
      <c r="Y67" s="63"/>
      <c r="Z67" s="63"/>
      <c r="AA67" s="63"/>
      <c r="AB67" s="63"/>
      <c r="AC67" s="63"/>
      <c r="AD67" s="63"/>
      <c r="AE67" s="63"/>
      <c r="AF67" s="63"/>
      <c r="AG67" s="63"/>
      <c r="AH67" s="63"/>
    </row>
    <row r="68" spans="9:34" x14ac:dyDescent="0.35">
      <c r="Q68" s="99" t="b">
        <f>IF(AND(OR(main_space_sys2=underfloor,main_space_sys2=heatpumpgroundwater,main_space_sys2=heatpumpair),ISBLANK(main_space_fuel_elec2)),TRUE,FALSE)</f>
        <v>0</v>
      </c>
      <c r="R68" s="100"/>
      <c r="S68" s="101" t="s">
        <v>136</v>
      </c>
      <c r="V68" s="8"/>
      <c r="W68" s="63"/>
      <c r="X68" s="63"/>
      <c r="Y68" s="63"/>
      <c r="Z68" s="63"/>
      <c r="AA68" s="63"/>
      <c r="AB68" s="63"/>
      <c r="AC68" s="63"/>
      <c r="AD68" s="63"/>
      <c r="AE68" s="63"/>
      <c r="AF68" s="63"/>
      <c r="AG68" s="63"/>
      <c r="AH68" s="63"/>
    </row>
    <row r="69" spans="9:34" x14ac:dyDescent="0.35">
      <c r="Q69" s="99" t="e">
        <f>IF(AND(secondary_space_heat_yn="Yes",ISBLANK(second_space_elec)),TRUE,FALSE)</f>
        <v>#REF!</v>
      </c>
      <c r="R69" s="100"/>
      <c r="S69" s="101" t="s">
        <v>137</v>
      </c>
      <c r="V69" s="8"/>
      <c r="W69" s="63"/>
      <c r="X69" s="63"/>
      <c r="Y69" s="63"/>
      <c r="Z69" s="63"/>
      <c r="AA69" s="63"/>
      <c r="AB69" s="63"/>
      <c r="AC69" s="63"/>
      <c r="AD69" s="63"/>
      <c r="AE69" s="63"/>
      <c r="AF69" s="63"/>
      <c r="AG69" s="63"/>
      <c r="AH69" s="63"/>
    </row>
    <row r="70" spans="9:34" x14ac:dyDescent="0.35">
      <c r="Q70" s="18" t="b">
        <f>IF(AND(OR(water_heat_sys=gas_sys,water_heat_sys=oil_sys,water_heat_sys=solid_sys),water_heat_fuel=NA),TRUE,FALSE)</f>
        <v>0</v>
      </c>
      <c r="S70" s="18" t="s">
        <v>138</v>
      </c>
      <c r="V70" s="8"/>
      <c r="W70" s="63"/>
      <c r="X70" s="63"/>
      <c r="Y70" s="63"/>
      <c r="Z70" s="63"/>
      <c r="AA70" s="63"/>
      <c r="AB70" s="63"/>
      <c r="AC70" s="63"/>
      <c r="AD70" s="63"/>
      <c r="AE70" s="63"/>
      <c r="AF70" s="63"/>
      <c r="AG70" s="63"/>
      <c r="AH70" s="63"/>
    </row>
    <row r="71" spans="9:34" x14ac:dyDescent="0.35">
      <c r="Q71" s="18" t="b">
        <f>IF(AND(OR(water_heat_sys=heat_pump1,water_heat_sys=heatpump2),water_heat_eff&lt;=100),TRUE,FALSE)</f>
        <v>0</v>
      </c>
      <c r="S71" s="18" t="s">
        <v>139</v>
      </c>
    </row>
    <row r="72" spans="9:34" x14ac:dyDescent="0.35">
      <c r="I72" s="18"/>
    </row>
  </sheetData>
  <sheetProtection algorithmName="SHA-512" hashValue="34kf1bM1EjHaiivMsFbjNGJ7VgOoeIjL5pfUPRfYlwtQcuZZTS5+MGae99f7m8/ahMu8XudQ6rrCC+wg4DiN2g==" saltValue="zFDNeRDVrM0sV26GbQwLEg==" spinCount="100000" sheet="1" selectLockedCells="1"/>
  <mergeCells count="5">
    <mergeCell ref="B19:E19"/>
    <mergeCell ref="B7:E7"/>
    <mergeCell ref="B39:E40"/>
    <mergeCell ref="B35:E37"/>
    <mergeCell ref="B16:E16"/>
  </mergeCells>
  <phoneticPr fontId="6" type="noConversion"/>
  <dataValidations count="4">
    <dataValidation type="decimal" allowBlank="1" showInputMessage="1" showErrorMessage="1" sqref="D30" xr:uid="{31DBED13-C1A3-4FC2-A619-25987D16CB9C}">
      <formula1>0</formula1>
      <formula2>700</formula2>
    </dataValidation>
    <dataValidation type="decimal" allowBlank="1" showInputMessage="1" showErrorMessage="1" sqref="D26:O26" xr:uid="{70E37FFB-CFDD-47B9-849E-E9E77C55FD38}">
      <formula1>-50000</formula1>
      <formula2>500000</formula2>
    </dataValidation>
    <dataValidation type="decimal" allowBlank="1" showInputMessage="1" showErrorMessage="1" sqref="D31:O33" xr:uid="{495F68B0-50FC-4914-A1F0-1187DDF4FA9D}">
      <formula1>-50000</formula1>
      <formula2>50000</formula2>
    </dataValidation>
    <dataValidation type="decimal" allowBlank="1" showInputMessage="1" showErrorMessage="1" sqref="D24" xr:uid="{F4D24CDB-F29A-481C-8AD7-1127DA8CF419}">
      <formula1>1</formula1>
      <formula2>500</formula2>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21724A49-3907-40A2-98FC-989C44A91756}">
          <x14:formula1>
            <xm:f>Dropdowns!$F$4:$F$5</xm:f>
          </x14:formula1>
          <xm:sqref>D23</xm:sqref>
        </x14:dataValidation>
        <x14:dataValidation type="list" allowBlank="1" showInputMessage="1" showErrorMessage="1" xr:uid="{8B3C48F2-8171-4552-BB0F-281540B2AD5F}">
          <x14:formula1>
            <xm:f>Dropdowns!$G$4:$G$5</xm:f>
          </x14:formula1>
          <xm:sqref>D17</xm:sqref>
        </x14:dataValidation>
        <x14:dataValidation type="list" allowBlank="1" showInputMessage="1" showErrorMessage="1" xr:uid="{F75B77D5-2F4D-4B07-817C-667B32BEB40F}">
          <x14:formula1>
            <xm:f>IF(water_heat_sys=gas_sys,'SAP Tables'!$B$3:$B$9,IF(water_heat_sys=oil_sys,'SAP Tables'!$B$10:$B$13,IF(water_heat_sys=solid_sys,'SAP Tables'!$B$14:$B$21,NA)))</xm:f>
          </x14:formula1>
          <xm:sqref>D29</xm:sqref>
        </x14:dataValidation>
        <x14:dataValidation type="list" allowBlank="1" showInputMessage="1" showErrorMessage="1" xr:uid="{B03B0BBD-C57A-4F7D-8B9A-F3DE4D9DFA85}">
          <x14:formula1>
            <xm:f>Dropdowns!$B$12:$B$14</xm:f>
          </x14:formula1>
          <xm:sqref>D25</xm:sqref>
        </x14:dataValidation>
        <x14:dataValidation type="list" allowBlank="1" showInputMessage="1" showErrorMessage="1" xr:uid="{C710F1A2-A308-44BF-A187-53320F36FB84}">
          <x14:formula1>
            <xm:f>Dropdowns!$I$11:$I$12</xm:f>
          </x14:formula1>
          <xm:sqref>D5</xm:sqref>
        </x14:dataValidation>
        <x14:dataValidation type="list" allowBlank="1" showInputMessage="1" showErrorMessage="1" xr:uid="{0CF9C115-B82A-4F27-90F8-B38C8406B7A4}">
          <x14:formula1>
            <xm:f>'SAP Tables'!$K$3:$K$10</xm:f>
          </x14:formula1>
          <xm:sqref>D28</xm:sqref>
        </x14:dataValidation>
        <x14:dataValidation type="list" allowBlank="1" showInputMessage="1" showErrorMessage="1" xr:uid="{8D4F83E9-F0BC-4444-8B26-8E9DD7846897}">
          <x14:formula1>
            <xm:f>'SAP Tables'!$I$4:$I$8</xm:f>
          </x14:formula1>
          <xm:sqref>D27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5E02D-8B1D-4D17-9538-96FCEEE962DF}">
  <sheetPr codeName="Sheet4">
    <tabColor rgb="FFFFFF00"/>
  </sheetPr>
  <dimension ref="B1:L30"/>
  <sheetViews>
    <sheetView showGridLines="0" zoomScale="85" zoomScaleNormal="85" workbookViewId="0">
      <selection activeCell="I43" sqref="I43"/>
    </sheetView>
  </sheetViews>
  <sheetFormatPr defaultColWidth="9" defaultRowHeight="14.5" x14ac:dyDescent="0.35"/>
  <cols>
    <col min="1" max="1" width="2.26953125" style="16" customWidth="1"/>
    <col min="2" max="2" width="39.26953125" style="16" bestFit="1" customWidth="1"/>
    <col min="3" max="3" width="12.54296875" style="16" bestFit="1" customWidth="1"/>
    <col min="4" max="4" width="8.26953125" style="21" bestFit="1" customWidth="1"/>
    <col min="5" max="5" width="9" style="16"/>
    <col min="6" max="6" width="12" style="16" bestFit="1" customWidth="1"/>
    <col min="7" max="10" width="9" style="16"/>
    <col min="11" max="11" width="3.7265625" style="16" customWidth="1"/>
    <col min="12" max="13" width="9" style="16"/>
    <col min="14" max="14" width="9" style="16" customWidth="1"/>
    <col min="15" max="15" width="33" style="16" customWidth="1"/>
    <col min="16" max="16" width="9" style="16" customWidth="1"/>
    <col min="17" max="16384" width="9" style="16"/>
  </cols>
  <sheetData>
    <row r="1" spans="2:12" x14ac:dyDescent="0.35">
      <c r="E1" s="27"/>
      <c r="F1" s="27"/>
      <c r="G1" s="27"/>
      <c r="H1" s="27"/>
      <c r="I1" s="71"/>
      <c r="J1" s="71"/>
    </row>
    <row r="2" spans="2:12" ht="26.25" customHeight="1" x14ac:dyDescent="0.35">
      <c r="B2" s="177" t="s">
        <v>140</v>
      </c>
      <c r="C2" s="177"/>
      <c r="E2" s="27"/>
      <c r="F2" s="27"/>
      <c r="G2" s="27"/>
      <c r="H2" s="27"/>
      <c r="I2" s="71"/>
      <c r="J2" s="71"/>
    </row>
    <row r="3" spans="2:12" x14ac:dyDescent="0.35">
      <c r="B3" s="16" t="s">
        <v>141</v>
      </c>
      <c r="E3" s="27"/>
      <c r="F3" s="27"/>
      <c r="G3" s="27"/>
      <c r="H3" s="27"/>
      <c r="I3" s="71"/>
      <c r="J3" s="71"/>
      <c r="L3" s="24"/>
    </row>
    <row r="4" spans="2:12" x14ac:dyDescent="0.35">
      <c r="E4" s="27"/>
      <c r="F4" s="27"/>
      <c r="G4" s="27"/>
      <c r="H4" s="27"/>
      <c r="I4" s="71"/>
      <c r="J4" s="71"/>
      <c r="L4" s="24"/>
    </row>
    <row r="5" spans="2:12" x14ac:dyDescent="0.35">
      <c r="B5" s="177" t="s">
        <v>142</v>
      </c>
      <c r="C5" s="177"/>
      <c r="E5" s="27"/>
      <c r="F5" s="27"/>
      <c r="G5" s="27"/>
      <c r="H5" s="27"/>
      <c r="I5" s="71"/>
      <c r="J5" s="71"/>
    </row>
    <row r="6" spans="2:12" x14ac:dyDescent="0.35">
      <c r="B6" s="23" t="s">
        <v>143</v>
      </c>
      <c r="C6" s="25" t="s">
        <v>144</v>
      </c>
      <c r="E6" s="27"/>
      <c r="F6" s="27"/>
      <c r="G6" s="27"/>
      <c r="H6" s="27"/>
      <c r="I6" s="71"/>
      <c r="J6" s="71"/>
    </row>
    <row r="7" spans="2:12" x14ac:dyDescent="0.35">
      <c r="B7" s="22" t="s">
        <v>145</v>
      </c>
      <c r="C7" s="22" t="s">
        <v>146</v>
      </c>
      <c r="E7" s="27"/>
      <c r="F7" s="27"/>
      <c r="G7" s="27"/>
      <c r="H7" s="27"/>
      <c r="I7" s="71"/>
      <c r="J7" s="71"/>
    </row>
    <row r="8" spans="2:12" ht="14.25" customHeight="1" x14ac:dyDescent="0.35">
      <c r="B8" s="22" t="s">
        <v>147</v>
      </c>
      <c r="C8" s="21" t="s">
        <v>148</v>
      </c>
      <c r="E8" s="27"/>
      <c r="F8" s="27"/>
      <c r="G8" s="27"/>
      <c r="H8" s="27"/>
      <c r="I8" s="71"/>
      <c r="J8" s="71"/>
    </row>
    <row r="9" spans="2:12" x14ac:dyDescent="0.35">
      <c r="B9" s="22" t="s">
        <v>149</v>
      </c>
      <c r="C9" s="26" t="e">
        <f>ROUND(Details!Q37,2)</f>
        <v>#N/A</v>
      </c>
      <c r="D9" s="16" t="s">
        <v>150</v>
      </c>
      <c r="E9" s="27"/>
      <c r="F9" s="27"/>
      <c r="G9" s="27"/>
      <c r="H9" s="27"/>
      <c r="I9" s="71"/>
      <c r="J9" s="71"/>
    </row>
    <row r="10" spans="2:12" x14ac:dyDescent="0.35">
      <c r="B10" s="22" t="s">
        <v>151</v>
      </c>
      <c r="C10" s="21">
        <f>IF(water_heat_fuel="NA", "Electricity",water_heat_fuel)</f>
        <v>0</v>
      </c>
      <c r="E10" s="27"/>
      <c r="F10" s="27"/>
      <c r="G10" s="27"/>
      <c r="H10" s="27"/>
      <c r="I10" s="71"/>
      <c r="J10" s="71"/>
    </row>
    <row r="11" spans="2:12" x14ac:dyDescent="0.35">
      <c r="B11" s="22" t="s">
        <v>152</v>
      </c>
      <c r="C11" s="21" t="e">
        <f>ROUND(Details!Q40,2)</f>
        <v>#N/A</v>
      </c>
      <c r="E11" s="27"/>
      <c r="F11" s="27"/>
      <c r="G11" s="27"/>
      <c r="H11" s="27"/>
      <c r="I11" s="71"/>
      <c r="J11" s="71"/>
    </row>
    <row r="12" spans="2:12" x14ac:dyDescent="0.35">
      <c r="B12" s="22" t="s">
        <v>153</v>
      </c>
      <c r="C12" s="21" t="s">
        <v>154</v>
      </c>
      <c r="E12" s="27"/>
      <c r="F12" s="27"/>
      <c r="G12" s="27"/>
      <c r="H12" s="27"/>
      <c r="I12" s="71"/>
      <c r="J12" s="71"/>
    </row>
    <row r="13" spans="2:12" x14ac:dyDescent="0.35">
      <c r="B13" s="22"/>
      <c r="C13" s="20"/>
      <c r="E13" s="27"/>
      <c r="F13" s="27"/>
      <c r="G13" s="27"/>
      <c r="H13" s="27"/>
      <c r="I13" s="71"/>
      <c r="J13" s="71"/>
    </row>
    <row r="14" spans="2:12" x14ac:dyDescent="0.35">
      <c r="B14" s="177" t="s">
        <v>155</v>
      </c>
      <c r="C14" s="177"/>
      <c r="E14" s="27"/>
      <c r="F14" s="27"/>
      <c r="G14" s="27"/>
      <c r="H14" s="27"/>
      <c r="I14" s="71"/>
      <c r="J14" s="71"/>
    </row>
    <row r="15" spans="2:12" x14ac:dyDescent="0.35">
      <c r="B15" s="23" t="s">
        <v>143</v>
      </c>
      <c r="C15" s="25" t="s">
        <v>144</v>
      </c>
      <c r="D15" s="16"/>
      <c r="E15" s="27"/>
      <c r="F15" s="27"/>
      <c r="G15" s="27"/>
      <c r="H15" s="27"/>
      <c r="I15" s="71"/>
      <c r="J15" s="71"/>
    </row>
    <row r="16" spans="2:12" x14ac:dyDescent="0.35">
      <c r="B16" s="22" t="s">
        <v>145</v>
      </c>
      <c r="C16" s="22" t="s">
        <v>156</v>
      </c>
      <c r="D16" s="16"/>
      <c r="E16" s="27"/>
      <c r="F16" s="27"/>
      <c r="G16" s="27"/>
      <c r="H16" s="27"/>
      <c r="I16" s="71"/>
      <c r="J16" s="71"/>
    </row>
    <row r="17" spans="2:10" x14ac:dyDescent="0.35">
      <c r="B17" s="22" t="s">
        <v>147</v>
      </c>
      <c r="C17" s="21" t="s">
        <v>157</v>
      </c>
      <c r="D17" s="16"/>
      <c r="E17" s="27"/>
      <c r="F17" s="27"/>
      <c r="G17" s="27"/>
      <c r="H17" s="27"/>
      <c r="I17" s="71"/>
      <c r="J17" s="71"/>
    </row>
    <row r="18" spans="2:10" x14ac:dyDescent="0.35">
      <c r="B18" s="22" t="s">
        <v>158</v>
      </c>
      <c r="C18" s="26" t="s">
        <v>159</v>
      </c>
      <c r="D18" s="16" t="s">
        <v>160</v>
      </c>
      <c r="E18" s="27"/>
      <c r="F18" s="27"/>
      <c r="G18" s="27"/>
      <c r="H18" s="27"/>
      <c r="I18" s="71"/>
      <c r="J18" s="71"/>
    </row>
    <row r="19" spans="2:10" x14ac:dyDescent="0.35">
      <c r="B19" s="22" t="s">
        <v>161</v>
      </c>
      <c r="C19" s="26" t="e">
        <f>Details!Q41</f>
        <v>#N/A</v>
      </c>
      <c r="D19" s="16" t="s">
        <v>160</v>
      </c>
      <c r="E19" s="27"/>
      <c r="F19" s="27"/>
      <c r="G19" s="27"/>
      <c r="H19" s="27"/>
      <c r="I19" s="71"/>
      <c r="J19" s="71"/>
    </row>
    <row r="20" spans="2:10" x14ac:dyDescent="0.35">
      <c r="C20" s="20"/>
      <c r="E20" s="27"/>
      <c r="F20" s="27"/>
      <c r="G20" s="27"/>
      <c r="H20" s="27"/>
      <c r="I20" s="71"/>
      <c r="J20" s="71"/>
    </row>
    <row r="21" spans="2:10" x14ac:dyDescent="0.35">
      <c r="D21" s="16"/>
      <c r="E21" s="27"/>
      <c r="F21" s="27"/>
      <c r="G21" s="27"/>
      <c r="H21" s="27"/>
      <c r="I21" s="71"/>
      <c r="J21" s="71"/>
    </row>
    <row r="22" spans="2:10" x14ac:dyDescent="0.35">
      <c r="E22" s="27"/>
      <c r="F22" s="27"/>
      <c r="G22" s="27"/>
      <c r="H22" s="27"/>
      <c r="I22" s="71"/>
      <c r="J22" s="71"/>
    </row>
    <row r="23" spans="2:10" x14ac:dyDescent="0.35">
      <c r="B23" s="168" t="s">
        <v>162</v>
      </c>
      <c r="C23" s="169"/>
      <c r="D23" s="170"/>
      <c r="E23" s="27"/>
      <c r="F23" s="27"/>
      <c r="G23" s="27"/>
      <c r="H23" s="27"/>
      <c r="I23" s="71"/>
      <c r="J23" s="71"/>
    </row>
    <row r="24" spans="2:10" x14ac:dyDescent="0.35">
      <c r="B24" s="171"/>
      <c r="C24" s="172"/>
      <c r="D24" s="173"/>
      <c r="E24" s="27"/>
      <c r="F24" s="27"/>
      <c r="G24" s="27"/>
      <c r="H24" s="27"/>
      <c r="I24" s="71"/>
      <c r="J24" s="71"/>
    </row>
    <row r="25" spans="2:10" x14ac:dyDescent="0.35">
      <c r="B25" s="174"/>
      <c r="C25" s="175"/>
      <c r="D25" s="176"/>
      <c r="E25" s="27"/>
      <c r="F25" s="27"/>
      <c r="G25" s="27"/>
      <c r="H25" s="27"/>
      <c r="I25" s="71"/>
      <c r="J25" s="71"/>
    </row>
    <row r="26" spans="2:10" x14ac:dyDescent="0.35">
      <c r="E26" s="27"/>
      <c r="F26" s="27"/>
      <c r="G26" s="27"/>
      <c r="H26" s="27"/>
      <c r="I26" s="71"/>
      <c r="J26" s="71"/>
    </row>
    <row r="27" spans="2:10" x14ac:dyDescent="0.35">
      <c r="E27" s="27"/>
      <c r="F27" s="27"/>
      <c r="G27" s="27"/>
      <c r="H27" s="27"/>
      <c r="I27" s="71"/>
      <c r="J27" s="71"/>
    </row>
    <row r="28" spans="2:10" x14ac:dyDescent="0.35">
      <c r="E28" s="27"/>
      <c r="F28" s="27"/>
      <c r="G28" s="27"/>
      <c r="H28" s="27"/>
      <c r="I28" s="71"/>
      <c r="J28" s="71"/>
    </row>
    <row r="29" spans="2:10" x14ac:dyDescent="0.35">
      <c r="E29" s="27"/>
      <c r="F29" s="27"/>
      <c r="G29" s="27"/>
      <c r="H29" s="27"/>
      <c r="I29" s="71"/>
      <c r="J29" s="71"/>
    </row>
    <row r="30" spans="2:10" x14ac:dyDescent="0.35">
      <c r="E30" s="34"/>
      <c r="F30" s="34"/>
      <c r="G30" s="34"/>
      <c r="H30" s="34"/>
      <c r="I30" s="35"/>
      <c r="J30" s="35"/>
    </row>
  </sheetData>
  <sheetProtection algorithmName="SHA-512" hashValue="/SRwp4BirULhr+YVsjkUCFAnAcD/v/O/sVD/PXlXOXsqprT1VNZJ4Afiqaeek9EIontVqfaZdClxw8rCR0F49w==" saltValue="KEGpBRmQYRGL6tP5HVTohQ==" spinCount="100000" sheet="1" objects="1" scenarios="1"/>
  <mergeCells count="4">
    <mergeCell ref="B23:D25"/>
    <mergeCell ref="B2:C2"/>
    <mergeCell ref="B5:C5"/>
    <mergeCell ref="B14:C1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B7D5C-AE80-41D3-9561-7DB54BADE2EF}">
  <sheetPr>
    <tabColor theme="6"/>
  </sheetPr>
  <dimension ref="A1:BX211"/>
  <sheetViews>
    <sheetView showGridLines="0" tabSelected="1" zoomScale="172" zoomScaleNormal="172" workbookViewId="0">
      <selection activeCell="C7" sqref="C7"/>
    </sheetView>
  </sheetViews>
  <sheetFormatPr defaultColWidth="8.7265625" defaultRowHeight="14" x14ac:dyDescent="0.3"/>
  <cols>
    <col min="1" max="1" width="8.7265625" style="2"/>
    <col min="2" max="2" width="51.26953125" style="3" bestFit="1" customWidth="1"/>
    <col min="3" max="3" width="9.26953125" style="2" bestFit="1" customWidth="1"/>
    <col min="4" max="4" width="11.453125" style="2" customWidth="1"/>
    <col min="5" max="7" width="9.26953125" style="2" customWidth="1"/>
    <col min="8" max="8" width="13.26953125" style="2" customWidth="1"/>
    <col min="9" max="11" width="9.26953125" style="2" customWidth="1"/>
    <col min="12" max="12" width="13.26953125" style="3" customWidth="1"/>
    <col min="13" max="14" width="9.26953125" style="2" customWidth="1"/>
    <col min="15" max="15" width="13.7265625" style="67" bestFit="1" customWidth="1"/>
    <col min="16" max="16" width="11.26953125" style="67" bestFit="1" customWidth="1"/>
    <col min="17" max="17" width="13.26953125" style="67" bestFit="1" customWidth="1"/>
    <col min="18" max="19" width="9.7265625" style="2" bestFit="1" customWidth="1"/>
    <col min="20" max="20" width="0.1796875" style="2" customWidth="1"/>
    <col min="21" max="28" width="9.7265625" style="2" customWidth="1"/>
    <col min="29" max="29" width="10.7265625" style="2" bestFit="1" customWidth="1"/>
    <col min="30" max="30" width="8.7265625" style="2" customWidth="1"/>
    <col min="31" max="31" width="19.453125" style="2" customWidth="1"/>
    <col min="32" max="33" width="8.7265625" style="2"/>
    <col min="34" max="34" width="14" style="2" bestFit="1" customWidth="1"/>
    <col min="35" max="36" width="8.7265625" style="2"/>
    <col min="37" max="37" width="13.26953125" style="2" bestFit="1" customWidth="1"/>
    <col min="38" max="53" width="8.7265625" style="2"/>
    <col min="54" max="54" width="54.26953125" style="2" bestFit="1" customWidth="1"/>
    <col min="55" max="16384" width="8.7265625" style="2"/>
  </cols>
  <sheetData>
    <row r="1" spans="2:29" x14ac:dyDescent="0.3">
      <c r="D1" s="67"/>
      <c r="O1" s="2"/>
      <c r="P1" s="2"/>
      <c r="Q1" s="2"/>
    </row>
    <row r="2" spans="2:29" x14ac:dyDescent="0.3">
      <c r="B2" s="3" t="s">
        <v>163</v>
      </c>
      <c r="C2" s="58"/>
      <c r="D2" s="58"/>
      <c r="E2" s="58"/>
      <c r="F2" s="58"/>
      <c r="G2" s="58"/>
      <c r="H2" s="58"/>
      <c r="I2" s="58"/>
      <c r="J2" s="58"/>
      <c r="K2" s="58"/>
      <c r="L2" s="58"/>
      <c r="M2" s="58"/>
      <c r="N2" s="58"/>
      <c r="O2" s="69"/>
      <c r="P2" s="69"/>
      <c r="Q2" s="2"/>
    </row>
    <row r="3" spans="2:29" x14ac:dyDescent="0.3">
      <c r="B3" s="3" t="s">
        <v>164</v>
      </c>
      <c r="C3" s="58" cm="1">
        <f t="array" ref="C3">1 + 1.76 * (1 - EXP(-0.000349 * (TFA -13.9)^2)) + 0.0013 * (TFA -13.9)</f>
        <v>1.0966945263483281</v>
      </c>
      <c r="D3" s="58"/>
      <c r="E3" s="58"/>
      <c r="F3" s="58"/>
      <c r="G3" s="58"/>
      <c r="H3" s="58"/>
      <c r="I3" s="58"/>
      <c r="J3" s="58"/>
      <c r="K3" s="58"/>
      <c r="L3" s="58"/>
      <c r="M3" s="58"/>
      <c r="N3" s="58"/>
      <c r="O3" s="69"/>
      <c r="P3" s="69"/>
      <c r="Q3" s="2"/>
    </row>
    <row r="4" spans="2:29" x14ac:dyDescent="0.3">
      <c r="B4" s="3" t="s">
        <v>165</v>
      </c>
      <c r="C4" s="58">
        <f>-('Dwelling data'!D33)</f>
        <v>0</v>
      </c>
      <c r="D4" s="58">
        <f>-('Dwelling data'!E33)</f>
        <v>0</v>
      </c>
      <c r="E4" s="58">
        <f>-('Dwelling data'!F33)</f>
        <v>0</v>
      </c>
      <c r="F4" s="58">
        <f>-('Dwelling data'!G33)</f>
        <v>0</v>
      </c>
      <c r="G4" s="58">
        <f>-('Dwelling data'!H33)</f>
        <v>0</v>
      </c>
      <c r="H4" s="58">
        <f>-('Dwelling data'!I33)</f>
        <v>0</v>
      </c>
      <c r="I4" s="58">
        <f>-('Dwelling data'!J33)</f>
        <v>0</v>
      </c>
      <c r="J4" s="58">
        <f>-('Dwelling data'!K33)</f>
        <v>0</v>
      </c>
      <c r="K4" s="58">
        <f>-('Dwelling data'!L33)</f>
        <v>0</v>
      </c>
      <c r="L4" s="58">
        <f>-('Dwelling data'!M33)</f>
        <v>0</v>
      </c>
      <c r="M4" s="58">
        <f>-('Dwelling data'!N33)</f>
        <v>0</v>
      </c>
      <c r="N4" s="58">
        <f>-('Dwelling data'!O33)</f>
        <v>0</v>
      </c>
      <c r="O4" s="69"/>
      <c r="P4" s="69"/>
      <c r="Q4" s="2"/>
    </row>
    <row r="5" spans="2:29" x14ac:dyDescent="0.3">
      <c r="B5" s="3" t="s">
        <v>166</v>
      </c>
      <c r="C5" s="58">
        <f>-('Dwelling data'!D32)</f>
        <v>0</v>
      </c>
      <c r="D5" s="58">
        <f>-('Dwelling data'!E32)</f>
        <v>0</v>
      </c>
      <c r="E5" s="58">
        <f>-('Dwelling data'!F32)</f>
        <v>0</v>
      </c>
      <c r="F5" s="58">
        <f>-('Dwelling data'!G32)</f>
        <v>0</v>
      </c>
      <c r="G5" s="58">
        <f>-('Dwelling data'!H32)</f>
        <v>0</v>
      </c>
      <c r="H5" s="58">
        <f>-('Dwelling data'!I32)</f>
        <v>0</v>
      </c>
      <c r="I5" s="58">
        <f>-('Dwelling data'!J32)</f>
        <v>0</v>
      </c>
      <c r="J5" s="58">
        <f>-('Dwelling data'!K32)</f>
        <v>0</v>
      </c>
      <c r="K5" s="58">
        <f>-('Dwelling data'!L32)</f>
        <v>0</v>
      </c>
      <c r="L5" s="58">
        <f>-('Dwelling data'!M32)</f>
        <v>0</v>
      </c>
      <c r="M5" s="58">
        <f>-('Dwelling data'!N32)</f>
        <v>0</v>
      </c>
      <c r="N5" s="58">
        <f>-('Dwelling data'!O32)</f>
        <v>0</v>
      </c>
      <c r="O5" s="69">
        <f>SUM(C5:N5)</f>
        <v>0</v>
      </c>
      <c r="P5" s="69"/>
      <c r="Q5" s="2"/>
    </row>
    <row r="6" spans="2:29" x14ac:dyDescent="0.3">
      <c r="B6" s="3" t="s">
        <v>167</v>
      </c>
      <c r="C6" s="58">
        <f>-('Dwelling data'!D31)</f>
        <v>0</v>
      </c>
      <c r="D6" s="58">
        <f>-('Dwelling data'!E31)</f>
        <v>0</v>
      </c>
      <c r="E6" s="58">
        <f>-('Dwelling data'!F31)</f>
        <v>0</v>
      </c>
      <c r="F6" s="58">
        <f>-('Dwelling data'!G31)</f>
        <v>0</v>
      </c>
      <c r="G6" s="58">
        <f>-('Dwelling data'!H31)</f>
        <v>0</v>
      </c>
      <c r="H6" s="58">
        <f>-('Dwelling data'!I31)</f>
        <v>0</v>
      </c>
      <c r="I6" s="58">
        <f>-('Dwelling data'!J31)</f>
        <v>0</v>
      </c>
      <c r="J6" s="58">
        <f>-('Dwelling data'!K31)</f>
        <v>0</v>
      </c>
      <c r="K6" s="58">
        <f>-('Dwelling data'!L31)</f>
        <v>0</v>
      </c>
      <c r="L6" s="58">
        <f>-('Dwelling data'!M31)</f>
        <v>0</v>
      </c>
      <c r="M6" s="58">
        <f>-('Dwelling data'!N31)</f>
        <v>0</v>
      </c>
      <c r="N6" s="58">
        <f>-('Dwelling data'!O31)</f>
        <v>0</v>
      </c>
      <c r="O6" s="69">
        <f>SUM(C6:N6)</f>
        <v>0</v>
      </c>
      <c r="P6" s="69"/>
      <c r="Q6" s="2"/>
    </row>
    <row r="7" spans="2:29" x14ac:dyDescent="0.3">
      <c r="B7" s="3" t="s">
        <v>168</v>
      </c>
      <c r="C7" s="58">
        <f>(C6/0.9)+C5+C4</f>
        <v>0</v>
      </c>
      <c r="D7" s="58">
        <f t="shared" ref="D7:N7" si="0">(D6/0.9)+D5+D4</f>
        <v>0</v>
      </c>
      <c r="E7" s="58">
        <f t="shared" si="0"/>
        <v>0</v>
      </c>
      <c r="F7" s="58">
        <f t="shared" si="0"/>
        <v>0</v>
      </c>
      <c r="G7" s="58">
        <f t="shared" si="0"/>
        <v>0</v>
      </c>
      <c r="H7" s="58">
        <f t="shared" si="0"/>
        <v>0</v>
      </c>
      <c r="I7" s="58">
        <f t="shared" si="0"/>
        <v>0</v>
      </c>
      <c r="J7" s="58">
        <f t="shared" si="0"/>
        <v>0</v>
      </c>
      <c r="K7" s="58">
        <f t="shared" si="0"/>
        <v>0</v>
      </c>
      <c r="L7" s="58">
        <f t="shared" si="0"/>
        <v>0</v>
      </c>
      <c r="M7" s="58">
        <f t="shared" si="0"/>
        <v>0</v>
      </c>
      <c r="N7" s="58">
        <f t="shared" si="0"/>
        <v>0</v>
      </c>
      <c r="O7" s="69">
        <f>SUM(C7:N7)</f>
        <v>0</v>
      </c>
      <c r="P7" s="69"/>
      <c r="Q7" s="2"/>
    </row>
    <row r="8" spans="2:29" x14ac:dyDescent="0.3">
      <c r="C8" s="58"/>
      <c r="D8" s="58"/>
      <c r="E8" s="58"/>
      <c r="F8" s="58"/>
      <c r="G8" s="58"/>
      <c r="H8" s="58"/>
      <c r="I8" s="58"/>
      <c r="J8" s="58"/>
      <c r="K8" s="58"/>
      <c r="L8" s="58"/>
      <c r="M8" s="58"/>
      <c r="N8" s="58"/>
      <c r="O8" s="69"/>
      <c r="P8" s="69"/>
      <c r="Q8" s="2"/>
    </row>
    <row r="9" spans="2:29" x14ac:dyDescent="0.3">
      <c r="B9" s="3" t="s">
        <v>169</v>
      </c>
      <c r="C9" s="58">
        <f>'Dwelling data'!D26</f>
        <v>0</v>
      </c>
      <c r="D9" s="58">
        <f>'Dwelling data'!E26</f>
        <v>0</v>
      </c>
      <c r="E9" s="58">
        <f>'Dwelling data'!F26</f>
        <v>0</v>
      </c>
      <c r="F9" s="58">
        <f>'Dwelling data'!G26</f>
        <v>0</v>
      </c>
      <c r="G9" s="58">
        <f>'Dwelling data'!H26</f>
        <v>0</v>
      </c>
      <c r="H9" s="58">
        <f>'Dwelling data'!I26</f>
        <v>0</v>
      </c>
      <c r="I9" s="58">
        <f>'Dwelling data'!J26</f>
        <v>0</v>
      </c>
      <c r="J9" s="58">
        <f>'Dwelling data'!K26</f>
        <v>0</v>
      </c>
      <c r="K9" s="58">
        <f>'Dwelling data'!L26</f>
        <v>0</v>
      </c>
      <c r="L9" s="58">
        <f>'Dwelling data'!M26</f>
        <v>0</v>
      </c>
      <c r="M9" s="58">
        <f>'Dwelling data'!N26</f>
        <v>0</v>
      </c>
      <c r="N9" s="58">
        <f>'Dwelling data'!O26</f>
        <v>0</v>
      </c>
      <c r="O9" s="69">
        <f>SUM(C9:N9)</f>
        <v>0</v>
      </c>
      <c r="P9" s="69"/>
      <c r="Q9" s="2"/>
    </row>
    <row r="10" spans="2:29" x14ac:dyDescent="0.3">
      <c r="C10" s="58"/>
      <c r="D10" s="58"/>
      <c r="E10" s="58"/>
      <c r="F10" s="58"/>
      <c r="G10" s="58"/>
      <c r="H10" s="58"/>
      <c r="I10" s="58"/>
      <c r="J10" s="58"/>
      <c r="K10" s="58"/>
      <c r="L10" s="58"/>
      <c r="M10" s="58"/>
      <c r="N10" s="58"/>
      <c r="O10" s="69"/>
      <c r="P10" s="69"/>
      <c r="Q10" s="2"/>
    </row>
    <row r="11" spans="2:29" x14ac:dyDescent="0.3">
      <c r="C11" s="58"/>
      <c r="D11" s="58"/>
      <c r="E11" s="58"/>
      <c r="F11" s="58"/>
      <c r="G11" s="58"/>
      <c r="H11" s="58"/>
      <c r="I11" s="58"/>
      <c r="J11" s="58"/>
      <c r="K11" s="58"/>
      <c r="L11" s="58"/>
      <c r="M11" s="58"/>
      <c r="N11" s="58"/>
      <c r="O11" s="69"/>
      <c r="P11" s="69"/>
      <c r="Q11" s="58"/>
      <c r="R11" s="58"/>
      <c r="S11" s="58"/>
      <c r="T11" s="58"/>
      <c r="U11" s="58"/>
      <c r="V11" s="58"/>
    </row>
    <row r="12" spans="2:29" x14ac:dyDescent="0.3">
      <c r="B12" s="3" t="s">
        <v>170</v>
      </c>
      <c r="C12" s="58">
        <f>C7-C5</f>
        <v>0</v>
      </c>
      <c r="D12" s="58">
        <f t="shared" ref="D12:N12" si="1">D7-D5</f>
        <v>0</v>
      </c>
      <c r="E12" s="58">
        <f t="shared" si="1"/>
        <v>0</v>
      </c>
      <c r="F12" s="58">
        <f t="shared" si="1"/>
        <v>0</v>
      </c>
      <c r="G12" s="58">
        <f t="shared" si="1"/>
        <v>0</v>
      </c>
      <c r="H12" s="58">
        <f t="shared" si="1"/>
        <v>0</v>
      </c>
      <c r="I12" s="58">
        <f t="shared" si="1"/>
        <v>0</v>
      </c>
      <c r="J12" s="58">
        <f t="shared" si="1"/>
        <v>0</v>
      </c>
      <c r="K12" s="58">
        <f t="shared" si="1"/>
        <v>0</v>
      </c>
      <c r="L12" s="58">
        <f t="shared" si="1"/>
        <v>0</v>
      </c>
      <c r="M12" s="58">
        <f t="shared" si="1"/>
        <v>0</v>
      </c>
      <c r="N12" s="58">
        <f t="shared" si="1"/>
        <v>0</v>
      </c>
      <c r="O12" s="69">
        <f>SUM(C12:N12)</f>
        <v>0</v>
      </c>
      <c r="P12" s="69"/>
      <c r="Q12" s="58"/>
      <c r="R12" s="58"/>
      <c r="S12" s="58"/>
      <c r="T12" s="58"/>
      <c r="U12" s="58"/>
      <c r="V12" s="58"/>
    </row>
    <row r="13" spans="2:29" x14ac:dyDescent="0.3">
      <c r="B13" s="3" t="s">
        <v>171</v>
      </c>
      <c r="C13" s="58" t="e">
        <f t="shared" ref="C13:N13" si="2">C12/C9</f>
        <v>#DIV/0!</v>
      </c>
      <c r="D13" s="58" t="e">
        <f t="shared" si="2"/>
        <v>#DIV/0!</v>
      </c>
      <c r="E13" s="58" t="e">
        <f t="shared" si="2"/>
        <v>#DIV/0!</v>
      </c>
      <c r="F13" s="58" t="e">
        <f t="shared" si="2"/>
        <v>#DIV/0!</v>
      </c>
      <c r="G13" s="58" t="e">
        <f t="shared" si="2"/>
        <v>#DIV/0!</v>
      </c>
      <c r="H13" s="58" t="e">
        <f t="shared" si="2"/>
        <v>#DIV/0!</v>
      </c>
      <c r="I13" s="58" t="e">
        <f t="shared" si="2"/>
        <v>#DIV/0!</v>
      </c>
      <c r="J13" s="58" t="e">
        <f t="shared" si="2"/>
        <v>#DIV/0!</v>
      </c>
      <c r="K13" s="58" t="e">
        <f t="shared" si="2"/>
        <v>#DIV/0!</v>
      </c>
      <c r="L13" s="58" t="e">
        <f t="shared" si="2"/>
        <v>#DIV/0!</v>
      </c>
      <c r="M13" s="58" t="e">
        <f t="shared" si="2"/>
        <v>#DIV/0!</v>
      </c>
      <c r="N13" s="58" t="e">
        <f t="shared" si="2"/>
        <v>#DIV/0!</v>
      </c>
      <c r="O13" s="69"/>
      <c r="P13" s="69"/>
      <c r="Q13" s="2"/>
    </row>
    <row r="14" spans="2:29" x14ac:dyDescent="0.3">
      <c r="O14" s="2"/>
      <c r="P14" s="2"/>
      <c r="Q14" s="2"/>
    </row>
    <row r="15" spans="2:29" x14ac:dyDescent="0.3">
      <c r="C15" s="3" t="s">
        <v>13</v>
      </c>
      <c r="D15" s="3"/>
      <c r="E15" s="3"/>
      <c r="F15" s="3"/>
      <c r="G15" s="3"/>
      <c r="H15" s="3"/>
      <c r="I15" s="3"/>
      <c r="J15" s="3"/>
      <c r="K15" s="3"/>
      <c r="M15" s="3"/>
      <c r="N15" s="3"/>
      <c r="O15" s="66" t="s">
        <v>172</v>
      </c>
      <c r="Q15" s="66" t="s">
        <v>173</v>
      </c>
      <c r="R15" s="66"/>
      <c r="S15" s="66"/>
      <c r="T15" s="66"/>
      <c r="U15" s="66"/>
      <c r="V15" s="66"/>
      <c r="W15" s="66"/>
      <c r="X15" s="66"/>
      <c r="Y15" s="66"/>
      <c r="Z15" s="66"/>
      <c r="AA15" s="66"/>
      <c r="AB15" s="66"/>
      <c r="AC15" s="3" t="s">
        <v>172</v>
      </c>
    </row>
    <row r="16" spans="2:29" x14ac:dyDescent="0.3">
      <c r="B16" s="3" t="s">
        <v>174</v>
      </c>
      <c r="C16" s="58" t="e">
        <f>'SAP Tables'!$K$89/(1+'SAP Tables'!$K$92*'SAP Tables'!$K$93^(-'SAP Tables'!$K$91*(C13-'SAP Tables'!$K$90)))+'SAP Tables'!$K$94</f>
        <v>#N/A</v>
      </c>
      <c r="D16" s="58" t="e">
        <f>'SAP Tables'!$K$89/(1+'SAP Tables'!$K$92*'SAP Tables'!$K$93^(-'SAP Tables'!$K$91*(D13-'SAP Tables'!$K$90)))+'SAP Tables'!$K$94</f>
        <v>#N/A</v>
      </c>
      <c r="E16" s="58" t="e">
        <f>'SAP Tables'!$K$89/(1+'SAP Tables'!$K$92*'SAP Tables'!$K$93^(-'SAP Tables'!$K$91*(E13-'SAP Tables'!$K$90)))+'SAP Tables'!$K$94</f>
        <v>#N/A</v>
      </c>
      <c r="F16" s="58" t="e">
        <f>'SAP Tables'!$K$89/(1+'SAP Tables'!$K$92*'SAP Tables'!$K$93^(-'SAP Tables'!$K$91*(F13-'SAP Tables'!$K$90)))+'SAP Tables'!$K$94</f>
        <v>#N/A</v>
      </c>
      <c r="G16" s="58" t="e">
        <f>'SAP Tables'!$K$89/(1+'SAP Tables'!$K$92*'SAP Tables'!$K$93^(-'SAP Tables'!$K$91*(G13-'SAP Tables'!$K$90)))+'SAP Tables'!$K$94</f>
        <v>#N/A</v>
      </c>
      <c r="H16" s="58" t="e">
        <f>'SAP Tables'!$K$89/(1+'SAP Tables'!$K$92*'SAP Tables'!$K$93^(-'SAP Tables'!$K$91*(H13-'SAP Tables'!$K$90)))+'SAP Tables'!$K$94</f>
        <v>#N/A</v>
      </c>
      <c r="I16" s="58" t="e">
        <f>'SAP Tables'!$K$89/(1+'SAP Tables'!$K$92*'SAP Tables'!$K$93^(-'SAP Tables'!$K$91*(I13-'SAP Tables'!$K$90)))+'SAP Tables'!$K$94</f>
        <v>#N/A</v>
      </c>
      <c r="J16" s="58" t="e">
        <f>'SAP Tables'!$K$89/(1+'SAP Tables'!$K$92*'SAP Tables'!$K$93^(-'SAP Tables'!$K$91*(J13-'SAP Tables'!$K$90)))+'SAP Tables'!$K$94</f>
        <v>#N/A</v>
      </c>
      <c r="K16" s="58" t="e">
        <f>'SAP Tables'!$K$89/(1+'SAP Tables'!$K$92*'SAP Tables'!$K$93^(-'SAP Tables'!$K$91*(K13-'SAP Tables'!$K$90)))+'SAP Tables'!$K$94</f>
        <v>#N/A</v>
      </c>
      <c r="L16" s="58" t="e">
        <f>'SAP Tables'!$K$89/(1+'SAP Tables'!$K$92*'SAP Tables'!$K$93^(-'SAP Tables'!$K$91*(L13-'SAP Tables'!$K$90)))+'SAP Tables'!$K$94</f>
        <v>#N/A</v>
      </c>
      <c r="M16" s="58" t="e">
        <f>'SAP Tables'!$K$89/(1+'SAP Tables'!$K$92*'SAP Tables'!$K$93^(-'SAP Tables'!$K$91*(M13-'SAP Tables'!$K$90)))+'SAP Tables'!$K$94</f>
        <v>#N/A</v>
      </c>
      <c r="N16" s="58" t="e">
        <f>'SAP Tables'!$K$89/(1+'SAP Tables'!$K$92*'SAP Tables'!$K$93^(-'SAP Tables'!$K$91*(N13-'SAP Tables'!$K$90)))+'SAP Tables'!$K$94</f>
        <v>#N/A</v>
      </c>
      <c r="Q16" s="58" t="e">
        <f>'SAP Tables'!L89/(1+'SAP Tables'!L92*'SAP Tables'!L93^(-'SAP Tables'!L91*(C13-'SAP Tables'!L90)))+'SAP Tables'!L94</f>
        <v>#N/A</v>
      </c>
      <c r="R16" s="58" t="e">
        <f>'SAP Tables'!L89/(1+'SAP Tables'!L92*'SAP Tables'!L93^(-'SAP Tables'!L91*(D13-'SAP Tables'!L90)))+'SAP Tables'!L94</f>
        <v>#N/A</v>
      </c>
      <c r="S16" s="58" t="e">
        <f>'SAP Tables'!L89/(1+'SAP Tables'!L92*'SAP Tables'!L93^(-'SAP Tables'!L91*(E13-'SAP Tables'!L90)))+'SAP Tables'!L94</f>
        <v>#N/A</v>
      </c>
      <c r="T16" s="58" t="e">
        <f>'SAP Tables'!L89/(1+'SAP Tables'!L92*'SAP Tables'!L93^(-'SAP Tables'!L91*(F13-'SAP Tables'!L90)))+'SAP Tables'!L94</f>
        <v>#N/A</v>
      </c>
      <c r="U16" s="58" t="e">
        <f>'SAP Tables'!L89/(1+'SAP Tables'!L92*'SAP Tables'!L93^(-'SAP Tables'!L91*(G13-'SAP Tables'!L90)))+'SAP Tables'!L94</f>
        <v>#N/A</v>
      </c>
      <c r="V16" s="58" t="e">
        <f>'SAP Tables'!L89/(1+'SAP Tables'!L92*'SAP Tables'!L93^(-'SAP Tables'!L91*(H13-'SAP Tables'!L90)))+'SAP Tables'!L94</f>
        <v>#N/A</v>
      </c>
      <c r="W16" s="58" t="e">
        <f>'SAP Tables'!L89/(1+'SAP Tables'!L92*'SAP Tables'!L93^(-'SAP Tables'!L91*(I13-'SAP Tables'!L90)))+'SAP Tables'!L94</f>
        <v>#N/A</v>
      </c>
      <c r="X16" s="58" t="e">
        <f>'SAP Tables'!L89/(1+'SAP Tables'!L92*'SAP Tables'!L93^(-'SAP Tables'!L91*(J13-'SAP Tables'!L90)))+'SAP Tables'!L94</f>
        <v>#N/A</v>
      </c>
      <c r="Y16" s="58" t="e">
        <f>'SAP Tables'!L89/(1+'SAP Tables'!L92*'SAP Tables'!L93^(-'SAP Tables'!L91*(K13-'SAP Tables'!L90)))+'SAP Tables'!L94</f>
        <v>#N/A</v>
      </c>
      <c r="Z16" s="58" t="e">
        <f>'SAP Tables'!L89/(1+'SAP Tables'!L92*'SAP Tables'!L93^(-'SAP Tables'!L91*(L13-'SAP Tables'!L90)))+'SAP Tables'!L94</f>
        <v>#N/A</v>
      </c>
      <c r="AA16" s="58" t="e">
        <f>'SAP Tables'!L89/(1+'SAP Tables'!L92*'SAP Tables'!L93^(-'SAP Tables'!L91*(M13-'SAP Tables'!L90)))+'SAP Tables'!L94</f>
        <v>#N/A</v>
      </c>
      <c r="AB16" s="58" t="e">
        <f>'SAP Tables'!L89/(1+'SAP Tables'!L92*'SAP Tables'!L93^(-'SAP Tables'!L91*(N13-'SAP Tables'!L90)))+'SAP Tables'!L94</f>
        <v>#N/A</v>
      </c>
    </row>
    <row r="17" spans="1:29" ht="14.5" x14ac:dyDescent="0.35">
      <c r="A17" s="68"/>
      <c r="B17" s="60" t="s">
        <v>175</v>
      </c>
      <c r="C17" s="58">
        <f t="shared" ref="C17:N17" si="3">C9</f>
        <v>0</v>
      </c>
      <c r="D17" s="58">
        <f t="shared" si="3"/>
        <v>0</v>
      </c>
      <c r="E17" s="58">
        <f t="shared" si="3"/>
        <v>0</v>
      </c>
      <c r="F17" s="58">
        <f t="shared" si="3"/>
        <v>0</v>
      </c>
      <c r="G17" s="58">
        <f t="shared" si="3"/>
        <v>0</v>
      </c>
      <c r="H17" s="58">
        <f t="shared" si="3"/>
        <v>0</v>
      </c>
      <c r="I17" s="58">
        <f t="shared" si="3"/>
        <v>0</v>
      </c>
      <c r="J17" s="58">
        <f t="shared" si="3"/>
        <v>0</v>
      </c>
      <c r="K17" s="58">
        <f t="shared" si="3"/>
        <v>0</v>
      </c>
      <c r="L17" s="58">
        <f t="shared" si="3"/>
        <v>0</v>
      </c>
      <c r="M17" s="58">
        <f t="shared" si="3"/>
        <v>0</v>
      </c>
      <c r="N17" s="58">
        <f t="shared" si="3"/>
        <v>0</v>
      </c>
      <c r="R17" s="67"/>
      <c r="S17" s="67"/>
      <c r="T17" s="67"/>
      <c r="U17" s="67"/>
      <c r="V17" s="67"/>
      <c r="W17" s="67"/>
      <c r="X17" s="67"/>
      <c r="Y17" s="67"/>
      <c r="Z17" s="67"/>
      <c r="AA17" s="67"/>
      <c r="AB17" s="67"/>
    </row>
    <row r="18" spans="1:29" ht="14.5" x14ac:dyDescent="0.35">
      <c r="A18" s="16"/>
      <c r="B18" s="60" t="s">
        <v>176</v>
      </c>
      <c r="C18" s="58" t="e">
        <f t="shared" ref="C18:N18" si="4">C12*C16</f>
        <v>#N/A</v>
      </c>
      <c r="D18" s="58" t="e">
        <f t="shared" si="4"/>
        <v>#N/A</v>
      </c>
      <c r="E18" s="58" t="e">
        <f t="shared" si="4"/>
        <v>#N/A</v>
      </c>
      <c r="F18" s="58" t="e">
        <f t="shared" si="4"/>
        <v>#N/A</v>
      </c>
      <c r="G18" s="58" t="e">
        <f t="shared" si="4"/>
        <v>#N/A</v>
      </c>
      <c r="H18" s="58" t="e">
        <f t="shared" si="4"/>
        <v>#N/A</v>
      </c>
      <c r="I18" s="58" t="e">
        <f t="shared" si="4"/>
        <v>#N/A</v>
      </c>
      <c r="J18" s="58" t="e">
        <f t="shared" si="4"/>
        <v>#N/A</v>
      </c>
      <c r="K18" s="58" t="e">
        <f t="shared" si="4"/>
        <v>#N/A</v>
      </c>
      <c r="L18" s="58" t="e">
        <f t="shared" si="4"/>
        <v>#N/A</v>
      </c>
      <c r="M18" s="58" t="e">
        <f t="shared" si="4"/>
        <v>#N/A</v>
      </c>
      <c r="N18" s="58" t="e">
        <f t="shared" si="4"/>
        <v>#N/A</v>
      </c>
      <c r="O18" s="61"/>
      <c r="Q18" s="61" t="e">
        <f t="shared" ref="Q18:AB18" si="5">C12*Q16</f>
        <v>#N/A</v>
      </c>
      <c r="R18" s="61" t="e">
        <f t="shared" si="5"/>
        <v>#N/A</v>
      </c>
      <c r="S18" s="61" t="e">
        <f t="shared" si="5"/>
        <v>#N/A</v>
      </c>
      <c r="T18" s="61" t="e">
        <f t="shared" si="5"/>
        <v>#N/A</v>
      </c>
      <c r="U18" s="61" t="e">
        <f t="shared" si="5"/>
        <v>#N/A</v>
      </c>
      <c r="V18" s="61" t="e">
        <f t="shared" si="5"/>
        <v>#N/A</v>
      </c>
      <c r="W18" s="61" t="e">
        <f t="shared" si="5"/>
        <v>#N/A</v>
      </c>
      <c r="X18" s="61" t="e">
        <f t="shared" si="5"/>
        <v>#N/A</v>
      </c>
      <c r="Y18" s="61" t="e">
        <f t="shared" si="5"/>
        <v>#N/A</v>
      </c>
      <c r="Z18" s="61" t="e">
        <f t="shared" si="5"/>
        <v>#N/A</v>
      </c>
      <c r="AA18" s="61" t="e">
        <f t="shared" si="5"/>
        <v>#N/A</v>
      </c>
      <c r="AB18" s="61" t="e">
        <f t="shared" si="5"/>
        <v>#N/A</v>
      </c>
      <c r="AC18" s="58"/>
    </row>
    <row r="19" spans="1:29" x14ac:dyDescent="0.3">
      <c r="B19" s="60" t="s">
        <v>177</v>
      </c>
      <c r="C19" s="58" t="e">
        <f t="shared" ref="C19:N19" si="6">MIN(C17,C18)</f>
        <v>#N/A</v>
      </c>
      <c r="D19" s="58" t="e">
        <f t="shared" si="6"/>
        <v>#N/A</v>
      </c>
      <c r="E19" s="58" t="e">
        <f t="shared" si="6"/>
        <v>#N/A</v>
      </c>
      <c r="F19" s="58" t="e">
        <f t="shared" si="6"/>
        <v>#N/A</v>
      </c>
      <c r="G19" s="58" t="e">
        <f t="shared" si="6"/>
        <v>#N/A</v>
      </c>
      <c r="H19" s="58" t="e">
        <f t="shared" si="6"/>
        <v>#N/A</v>
      </c>
      <c r="I19" s="58" t="e">
        <f t="shared" si="6"/>
        <v>#N/A</v>
      </c>
      <c r="J19" s="58" t="e">
        <f t="shared" si="6"/>
        <v>#N/A</v>
      </c>
      <c r="K19" s="58" t="e">
        <f t="shared" si="6"/>
        <v>#N/A</v>
      </c>
      <c r="L19" s="58" t="e">
        <f t="shared" si="6"/>
        <v>#N/A</v>
      </c>
      <c r="M19" s="58" t="e">
        <f t="shared" si="6"/>
        <v>#N/A</v>
      </c>
      <c r="N19" s="58" t="e">
        <f t="shared" si="6"/>
        <v>#N/A</v>
      </c>
      <c r="O19" s="116" t="e">
        <f>SUM(C19:N19)</f>
        <v>#N/A</v>
      </c>
      <c r="Q19" s="61" t="e">
        <f t="shared" ref="Q19:AB19" si="7">MIN(C17,Q18)</f>
        <v>#N/A</v>
      </c>
      <c r="R19" s="61" t="e">
        <f t="shared" si="7"/>
        <v>#N/A</v>
      </c>
      <c r="S19" s="61" t="e">
        <f t="shared" si="7"/>
        <v>#N/A</v>
      </c>
      <c r="T19" s="61" t="e">
        <f t="shared" si="7"/>
        <v>#N/A</v>
      </c>
      <c r="U19" s="61" t="e">
        <f t="shared" si="7"/>
        <v>#N/A</v>
      </c>
      <c r="V19" s="61" t="e">
        <f t="shared" si="7"/>
        <v>#N/A</v>
      </c>
      <c r="W19" s="61" t="e">
        <f t="shared" si="7"/>
        <v>#N/A</v>
      </c>
      <c r="X19" s="61" t="e">
        <f t="shared" si="7"/>
        <v>#N/A</v>
      </c>
      <c r="Y19" s="61" t="e">
        <f t="shared" si="7"/>
        <v>#N/A</v>
      </c>
      <c r="Z19" s="61" t="e">
        <f t="shared" si="7"/>
        <v>#N/A</v>
      </c>
      <c r="AA19" s="61" t="e">
        <f t="shared" si="7"/>
        <v>#N/A</v>
      </c>
      <c r="AB19" s="61" t="e">
        <f t="shared" si="7"/>
        <v>#N/A</v>
      </c>
      <c r="AC19" s="117" t="e">
        <f>SUM(Q19:AB19)</f>
        <v>#N/A</v>
      </c>
    </row>
    <row r="20" spans="1:29" x14ac:dyDescent="0.3">
      <c r="B20" s="109" t="s">
        <v>178</v>
      </c>
      <c r="C20" s="113" t="e">
        <f t="shared" ref="C20:N20" si="8">(C7)-(C19/fPV_diverter_storageloss_mixergy)</f>
        <v>#N/A</v>
      </c>
      <c r="D20" s="113" t="e">
        <f t="shared" si="8"/>
        <v>#N/A</v>
      </c>
      <c r="E20" s="113" t="e">
        <f t="shared" si="8"/>
        <v>#N/A</v>
      </c>
      <c r="F20" s="113" t="e">
        <f t="shared" si="8"/>
        <v>#N/A</v>
      </c>
      <c r="G20" s="113" t="e">
        <f t="shared" si="8"/>
        <v>#N/A</v>
      </c>
      <c r="H20" s="113" t="e">
        <f t="shared" si="8"/>
        <v>#N/A</v>
      </c>
      <c r="I20" s="113" t="e">
        <f t="shared" si="8"/>
        <v>#N/A</v>
      </c>
      <c r="J20" s="113" t="e">
        <f t="shared" si="8"/>
        <v>#N/A</v>
      </c>
      <c r="K20" s="113" t="e">
        <f t="shared" si="8"/>
        <v>#N/A</v>
      </c>
      <c r="L20" s="113" t="e">
        <f t="shared" si="8"/>
        <v>#N/A</v>
      </c>
      <c r="M20" s="113" t="e">
        <f t="shared" si="8"/>
        <v>#N/A</v>
      </c>
      <c r="N20" s="113" t="e">
        <f t="shared" si="8"/>
        <v>#N/A</v>
      </c>
      <c r="O20" s="116" t="e">
        <f>SUM(C20:N20)</f>
        <v>#N/A</v>
      </c>
      <c r="P20" s="115"/>
      <c r="Q20" s="115" t="e">
        <f t="shared" ref="Q20:AB20" si="9">(C7)-(Q19/fPV_diverter_storageloss)</f>
        <v>#N/A</v>
      </c>
      <c r="R20" s="115" t="e">
        <f t="shared" si="9"/>
        <v>#N/A</v>
      </c>
      <c r="S20" s="115" t="e">
        <f t="shared" si="9"/>
        <v>#N/A</v>
      </c>
      <c r="T20" s="115" t="e">
        <f t="shared" si="9"/>
        <v>#N/A</v>
      </c>
      <c r="U20" s="115" t="e">
        <f t="shared" si="9"/>
        <v>#N/A</v>
      </c>
      <c r="V20" s="115" t="e">
        <f t="shared" si="9"/>
        <v>#N/A</v>
      </c>
      <c r="W20" s="115" t="e">
        <f t="shared" si="9"/>
        <v>#N/A</v>
      </c>
      <c r="X20" s="115" t="e">
        <f t="shared" si="9"/>
        <v>#N/A</v>
      </c>
      <c r="Y20" s="115" t="e">
        <f t="shared" si="9"/>
        <v>#N/A</v>
      </c>
      <c r="Z20" s="115" t="e">
        <f t="shared" si="9"/>
        <v>#N/A</v>
      </c>
      <c r="AA20" s="115" t="e">
        <f t="shared" si="9"/>
        <v>#N/A</v>
      </c>
      <c r="AB20" s="115" t="e">
        <f t="shared" si="9"/>
        <v>#N/A</v>
      </c>
      <c r="AC20" s="117" t="e">
        <f>SUM(Q20:AB20)</f>
        <v>#N/A</v>
      </c>
    </row>
    <row r="21" spans="1:29" x14ac:dyDescent="0.3">
      <c r="B21" s="3" t="s">
        <v>179</v>
      </c>
      <c r="C21" s="58" t="e">
        <f>IF(OR(water_heat_sys=gas_sys,water_heat_sys=oil_sys,water_heat_sys=solid_sys,electricity_tariff=standard_tariff),1,INDEX(Tariff_table[],MATCH(Sys_tariff,Tariff_table[System+tariff],0),4))</f>
        <v>#N/A</v>
      </c>
      <c r="D21" s="58"/>
      <c r="E21" s="58"/>
      <c r="F21" s="58"/>
      <c r="G21" s="58"/>
      <c r="H21" s="58"/>
      <c r="I21" s="58"/>
      <c r="J21" s="58"/>
      <c r="K21" s="58"/>
      <c r="L21" s="58"/>
      <c r="M21" s="58"/>
      <c r="N21" s="58"/>
      <c r="Q21" s="62"/>
      <c r="R21" s="62"/>
      <c r="S21" s="62"/>
      <c r="T21" s="62"/>
      <c r="U21" s="62"/>
      <c r="V21" s="62"/>
      <c r="W21" s="62"/>
      <c r="X21" s="62"/>
      <c r="Y21" s="62"/>
      <c r="Z21" s="62"/>
      <c r="AA21" s="62"/>
      <c r="AB21" s="62"/>
    </row>
    <row r="22" spans="1:29" ht="16.399999999999999" customHeight="1" x14ac:dyDescent="0.3">
      <c r="B22" s="3" t="s">
        <v>180</v>
      </c>
      <c r="C22" s="58" t="e">
        <f t="shared" ref="C22:N22" si="10">On_peak_frac_water*C17</f>
        <v>#N/A</v>
      </c>
      <c r="D22" s="58" t="e">
        <f t="shared" si="10"/>
        <v>#N/A</v>
      </c>
      <c r="E22" s="58" t="e">
        <f t="shared" si="10"/>
        <v>#N/A</v>
      </c>
      <c r="F22" s="58" t="e">
        <f t="shared" si="10"/>
        <v>#N/A</v>
      </c>
      <c r="G22" s="58" t="e">
        <f t="shared" si="10"/>
        <v>#N/A</v>
      </c>
      <c r="H22" s="58" t="e">
        <f t="shared" si="10"/>
        <v>#N/A</v>
      </c>
      <c r="I22" s="58" t="e">
        <f t="shared" si="10"/>
        <v>#N/A</v>
      </c>
      <c r="J22" s="58" t="e">
        <f t="shared" si="10"/>
        <v>#N/A</v>
      </c>
      <c r="K22" s="58" t="e">
        <f t="shared" si="10"/>
        <v>#N/A</v>
      </c>
      <c r="L22" s="58" t="e">
        <f t="shared" si="10"/>
        <v>#N/A</v>
      </c>
      <c r="M22" s="58" t="e">
        <f t="shared" si="10"/>
        <v>#N/A</v>
      </c>
      <c r="N22" s="58" t="e">
        <f t="shared" si="10"/>
        <v>#N/A</v>
      </c>
      <c r="Q22" s="61"/>
      <c r="R22" s="61"/>
      <c r="S22" s="61"/>
      <c r="T22" s="61"/>
      <c r="U22" s="61"/>
      <c r="V22" s="61"/>
      <c r="W22" s="61"/>
      <c r="X22" s="61"/>
      <c r="Y22" s="61"/>
      <c r="Z22" s="61"/>
      <c r="AA22" s="61"/>
      <c r="AB22" s="61"/>
    </row>
    <row r="23" spans="1:29" x14ac:dyDescent="0.3">
      <c r="B23" s="3" t="s">
        <v>181</v>
      </c>
      <c r="C23" s="58" t="e">
        <f t="shared" ref="C23:N23" si="11">C17-C22</f>
        <v>#N/A</v>
      </c>
      <c r="D23" s="58" t="e">
        <f t="shared" si="11"/>
        <v>#N/A</v>
      </c>
      <c r="E23" s="58" t="e">
        <f t="shared" si="11"/>
        <v>#N/A</v>
      </c>
      <c r="F23" s="58" t="e">
        <f t="shared" si="11"/>
        <v>#N/A</v>
      </c>
      <c r="G23" s="58" t="e">
        <f t="shared" si="11"/>
        <v>#N/A</v>
      </c>
      <c r="H23" s="58" t="e">
        <f t="shared" si="11"/>
        <v>#N/A</v>
      </c>
      <c r="I23" s="58" t="e">
        <f t="shared" si="11"/>
        <v>#N/A</v>
      </c>
      <c r="J23" s="58" t="e">
        <f t="shared" si="11"/>
        <v>#N/A</v>
      </c>
      <c r="K23" s="58" t="e">
        <f t="shared" si="11"/>
        <v>#N/A</v>
      </c>
      <c r="L23" s="58" t="e">
        <f t="shared" si="11"/>
        <v>#N/A</v>
      </c>
      <c r="M23" s="58" t="e">
        <f t="shared" si="11"/>
        <v>#N/A</v>
      </c>
      <c r="N23" s="58" t="e">
        <f t="shared" si="11"/>
        <v>#N/A</v>
      </c>
      <c r="Q23" s="61"/>
      <c r="R23" s="61"/>
      <c r="S23" s="61"/>
      <c r="T23" s="61"/>
      <c r="U23" s="61"/>
      <c r="V23" s="61"/>
      <c r="W23" s="61"/>
      <c r="X23" s="61"/>
      <c r="Y23" s="61"/>
      <c r="Z23" s="61"/>
      <c r="AA23" s="61"/>
      <c r="AB23" s="61"/>
    </row>
    <row r="24" spans="1:29" x14ac:dyDescent="0.3">
      <c r="B24" s="3" t="s">
        <v>182</v>
      </c>
      <c r="C24" s="58" t="e">
        <f>IF(electricity_tariff=Dropdowns!$B$12,MIN($C$22,C19),C19*On_peak_frac_water)</f>
        <v>#N/A</v>
      </c>
      <c r="D24" s="58" t="e">
        <f>IF(electricity_tariff=Dropdowns!$B$12,MIN($C$22,D19),D19*On_peak_frac_water)</f>
        <v>#N/A</v>
      </c>
      <c r="E24" s="58" t="e">
        <f>IF(electricity_tariff=Dropdowns!$B$12,MIN($C$22,E19),E19*On_peak_frac_water)</f>
        <v>#N/A</v>
      </c>
      <c r="F24" s="58" t="e">
        <f>IF(electricity_tariff=Dropdowns!$B$12,MIN($C$22,F19),F19*On_peak_frac_water)</f>
        <v>#N/A</v>
      </c>
      <c r="G24" s="58" t="e">
        <f>IF(electricity_tariff=Dropdowns!$B$12,MIN($C$22,G19),G19*On_peak_frac_water)</f>
        <v>#N/A</v>
      </c>
      <c r="H24" s="58" t="e">
        <f>IF(electricity_tariff=Dropdowns!$B$12,MIN($C$22,H19),H19*On_peak_frac_water)</f>
        <v>#N/A</v>
      </c>
      <c r="I24" s="58" t="e">
        <f>IF(electricity_tariff=Dropdowns!$B$12,MIN($C$22,I19),I19*On_peak_frac_water)</f>
        <v>#N/A</v>
      </c>
      <c r="J24" s="58" t="e">
        <f>IF(electricity_tariff=Dropdowns!$B$12,MIN($C$22,J19),J19*On_peak_frac_water)</f>
        <v>#N/A</v>
      </c>
      <c r="K24" s="58" t="e">
        <f>IF(electricity_tariff=Dropdowns!$B$12,MIN($C$22,K19),K19*On_peak_frac_water)</f>
        <v>#N/A</v>
      </c>
      <c r="L24" s="58" t="e">
        <f>IF(electricity_tariff=Dropdowns!$B$12,MIN($C$22,L19),L19*On_peak_frac_water)</f>
        <v>#N/A</v>
      </c>
      <c r="M24" s="58" t="e">
        <f>IF(electricity_tariff=Dropdowns!$B$12,MIN($C$22,M19),M19*On_peak_frac_water)</f>
        <v>#N/A</v>
      </c>
      <c r="N24" s="58" t="e">
        <f>IF(electricity_tariff=Dropdowns!$B$12,MIN($C$22,N19),N19*On_peak_frac_water)</f>
        <v>#N/A</v>
      </c>
      <c r="O24" s="61"/>
      <c r="Q24" s="61" t="e">
        <f>IF(electricity_tariff=Dropdowns!$B$12,MIN(C22,Q19),Q19*On_peak_frac_water)</f>
        <v>#N/A</v>
      </c>
      <c r="R24" s="61" t="e">
        <f>IF(electricity_tariff=Dropdowns!$B$12,MIN(D22,R19),R19*On_peak_frac_water)</f>
        <v>#N/A</v>
      </c>
      <c r="S24" s="61" t="e">
        <f>IF(electricity_tariff=Dropdowns!$B$12,MIN(E22,S19),S19*On_peak_frac_water)</f>
        <v>#N/A</v>
      </c>
      <c r="T24" s="61" t="e">
        <f>IF(electricity_tariff=Dropdowns!$B$12,MIN(F22,T19),T19*On_peak_frac_water)</f>
        <v>#N/A</v>
      </c>
      <c r="U24" s="61" t="e">
        <f>IF(electricity_tariff=Dropdowns!$B$12,MIN(G22,U19),U19*On_peak_frac_water)</f>
        <v>#N/A</v>
      </c>
      <c r="V24" s="61" t="e">
        <f>IF(electricity_tariff=Dropdowns!$B$12,MIN(H22,V19),V19*On_peak_frac_water)</f>
        <v>#N/A</v>
      </c>
      <c r="W24" s="61" t="e">
        <f>IF(electricity_tariff=Dropdowns!$B$12,MIN(I22,W19),W19*On_peak_frac_water)</f>
        <v>#N/A</v>
      </c>
      <c r="X24" s="61" t="e">
        <f>IF(electricity_tariff=Dropdowns!$B$12,MIN(J22,X19),X19*On_peak_frac_water)</f>
        <v>#N/A</v>
      </c>
      <c r="Y24" s="61" t="e">
        <f>IF(electricity_tariff=Dropdowns!$B$12,MIN(K22,Y19),Y19*On_peak_frac_water)</f>
        <v>#N/A</v>
      </c>
      <c r="Z24" s="61" t="e">
        <f>IF(electricity_tariff=Dropdowns!$B$12,MIN(L22,Z19),Z19*On_peak_frac_water)</f>
        <v>#N/A</v>
      </c>
      <c r="AA24" s="61" t="e">
        <f>IF(electricity_tariff=Dropdowns!$B$12,MIN(M22,AA19),AA19*On_peak_frac_water)</f>
        <v>#N/A</v>
      </c>
      <c r="AB24" s="61" t="e">
        <f>IF(electricity_tariff=Dropdowns!$B$12,MIN(N22,AB19),AB19*On_peak_frac_water)</f>
        <v>#N/A</v>
      </c>
    </row>
    <row r="25" spans="1:29" x14ac:dyDescent="0.3">
      <c r="B25" s="3" t="s">
        <v>183</v>
      </c>
      <c r="C25" s="58" t="e">
        <f>C19-C24</f>
        <v>#N/A</v>
      </c>
      <c r="D25" s="58" t="e">
        <f t="shared" ref="D25:N25" si="12">D19-D24</f>
        <v>#N/A</v>
      </c>
      <c r="E25" s="58" t="e">
        <f t="shared" si="12"/>
        <v>#N/A</v>
      </c>
      <c r="F25" s="58" t="e">
        <f t="shared" si="12"/>
        <v>#N/A</v>
      </c>
      <c r="G25" s="58" t="e">
        <f t="shared" si="12"/>
        <v>#N/A</v>
      </c>
      <c r="H25" s="58" t="e">
        <f t="shared" si="12"/>
        <v>#N/A</v>
      </c>
      <c r="I25" s="58" t="e">
        <f t="shared" si="12"/>
        <v>#N/A</v>
      </c>
      <c r="J25" s="58" t="e">
        <f t="shared" si="12"/>
        <v>#N/A</v>
      </c>
      <c r="K25" s="58" t="e">
        <f t="shared" si="12"/>
        <v>#N/A</v>
      </c>
      <c r="L25" s="58" t="e">
        <f t="shared" si="12"/>
        <v>#N/A</v>
      </c>
      <c r="M25" s="58" t="e">
        <f t="shared" si="12"/>
        <v>#N/A</v>
      </c>
      <c r="N25" s="58" t="e">
        <f t="shared" si="12"/>
        <v>#N/A</v>
      </c>
      <c r="Q25" s="61" t="e">
        <f>Q19-Q24</f>
        <v>#N/A</v>
      </c>
      <c r="R25" s="61" t="e">
        <f t="shared" ref="R25:X25" si="13">R19-R24</f>
        <v>#N/A</v>
      </c>
      <c r="S25" s="61" t="e">
        <f t="shared" si="13"/>
        <v>#N/A</v>
      </c>
      <c r="T25" s="61" t="e">
        <f t="shared" si="13"/>
        <v>#N/A</v>
      </c>
      <c r="U25" s="61" t="e">
        <f t="shared" si="13"/>
        <v>#N/A</v>
      </c>
      <c r="V25" s="61" t="e">
        <f t="shared" si="13"/>
        <v>#N/A</v>
      </c>
      <c r="W25" s="61" t="e">
        <f t="shared" si="13"/>
        <v>#N/A</v>
      </c>
      <c r="X25" s="61" t="e">
        <f t="shared" si="13"/>
        <v>#N/A</v>
      </c>
      <c r="Y25" s="61" t="e">
        <f>Y19-Y24</f>
        <v>#N/A</v>
      </c>
      <c r="Z25" s="61" t="e">
        <f t="shared" ref="Z25:AA25" si="14">Z19-Z24</f>
        <v>#N/A</v>
      </c>
      <c r="AA25" s="61" t="e">
        <f t="shared" si="14"/>
        <v>#N/A</v>
      </c>
      <c r="AB25" s="61" t="e">
        <f>AB19-AB24</f>
        <v>#N/A</v>
      </c>
    </row>
    <row r="26" spans="1:29" x14ac:dyDescent="0.3">
      <c r="A26" s="3"/>
      <c r="B26" s="3" t="s">
        <v>184</v>
      </c>
      <c r="C26" s="58" t="e">
        <f t="shared" ref="C26:N27" si="15">C22-C24</f>
        <v>#N/A</v>
      </c>
      <c r="D26" s="58" t="e">
        <f t="shared" si="15"/>
        <v>#N/A</v>
      </c>
      <c r="E26" s="58" t="e">
        <f t="shared" si="15"/>
        <v>#N/A</v>
      </c>
      <c r="F26" s="58" t="e">
        <f t="shared" si="15"/>
        <v>#N/A</v>
      </c>
      <c r="G26" s="58" t="e">
        <f t="shared" si="15"/>
        <v>#N/A</v>
      </c>
      <c r="H26" s="58" t="e">
        <f t="shared" si="15"/>
        <v>#N/A</v>
      </c>
      <c r="I26" s="58" t="e">
        <f t="shared" si="15"/>
        <v>#N/A</v>
      </c>
      <c r="J26" s="58" t="e">
        <f t="shared" si="15"/>
        <v>#N/A</v>
      </c>
      <c r="K26" s="58" t="e">
        <f t="shared" si="15"/>
        <v>#N/A</v>
      </c>
      <c r="L26" s="58" t="e">
        <f t="shared" si="15"/>
        <v>#N/A</v>
      </c>
      <c r="M26" s="58" t="e">
        <f t="shared" si="15"/>
        <v>#N/A</v>
      </c>
      <c r="N26" s="58" t="e">
        <f t="shared" si="15"/>
        <v>#N/A</v>
      </c>
      <c r="Q26" s="61" t="e">
        <f t="shared" ref="Q26:AB27" si="16">C22-Q24</f>
        <v>#N/A</v>
      </c>
      <c r="R26" s="61" t="e">
        <f t="shared" si="16"/>
        <v>#N/A</v>
      </c>
      <c r="S26" s="61" t="e">
        <f t="shared" si="16"/>
        <v>#N/A</v>
      </c>
      <c r="T26" s="61" t="e">
        <f t="shared" si="16"/>
        <v>#N/A</v>
      </c>
      <c r="U26" s="61" t="e">
        <f t="shared" si="16"/>
        <v>#N/A</v>
      </c>
      <c r="V26" s="61" t="e">
        <f t="shared" si="16"/>
        <v>#N/A</v>
      </c>
      <c r="W26" s="61" t="e">
        <f t="shared" si="16"/>
        <v>#N/A</v>
      </c>
      <c r="X26" s="61" t="e">
        <f t="shared" si="16"/>
        <v>#N/A</v>
      </c>
      <c r="Y26" s="61" t="e">
        <f t="shared" si="16"/>
        <v>#N/A</v>
      </c>
      <c r="Z26" s="61" t="e">
        <f t="shared" si="16"/>
        <v>#N/A</v>
      </c>
      <c r="AA26" s="61" t="e">
        <f t="shared" si="16"/>
        <v>#N/A</v>
      </c>
      <c r="AB26" s="61" t="e">
        <f t="shared" si="16"/>
        <v>#N/A</v>
      </c>
    </row>
    <row r="27" spans="1:29" x14ac:dyDescent="0.3">
      <c r="A27" s="3"/>
      <c r="B27" s="3" t="s">
        <v>185</v>
      </c>
      <c r="C27" s="58" t="e">
        <f t="shared" si="15"/>
        <v>#N/A</v>
      </c>
      <c r="D27" s="58" t="e">
        <f t="shared" si="15"/>
        <v>#N/A</v>
      </c>
      <c r="E27" s="58" t="e">
        <f t="shared" si="15"/>
        <v>#N/A</v>
      </c>
      <c r="F27" s="58" t="e">
        <f t="shared" si="15"/>
        <v>#N/A</v>
      </c>
      <c r="G27" s="58" t="e">
        <f t="shared" si="15"/>
        <v>#N/A</v>
      </c>
      <c r="H27" s="58" t="e">
        <f t="shared" si="15"/>
        <v>#N/A</v>
      </c>
      <c r="I27" s="58" t="e">
        <f t="shared" si="15"/>
        <v>#N/A</v>
      </c>
      <c r="J27" s="58" t="e">
        <f t="shared" si="15"/>
        <v>#N/A</v>
      </c>
      <c r="K27" s="58" t="e">
        <f t="shared" si="15"/>
        <v>#N/A</v>
      </c>
      <c r="L27" s="58" t="e">
        <f t="shared" si="15"/>
        <v>#N/A</v>
      </c>
      <c r="M27" s="58" t="e">
        <f t="shared" si="15"/>
        <v>#N/A</v>
      </c>
      <c r="N27" s="58" t="e">
        <f t="shared" si="15"/>
        <v>#N/A</v>
      </c>
      <c r="Q27" s="61" t="e">
        <f t="shared" si="16"/>
        <v>#N/A</v>
      </c>
      <c r="R27" s="61" t="e">
        <f t="shared" si="16"/>
        <v>#N/A</v>
      </c>
      <c r="S27" s="61" t="e">
        <f t="shared" si="16"/>
        <v>#N/A</v>
      </c>
      <c r="T27" s="61" t="e">
        <f t="shared" si="16"/>
        <v>#N/A</v>
      </c>
      <c r="U27" s="61" t="e">
        <f t="shared" si="16"/>
        <v>#N/A</v>
      </c>
      <c r="V27" s="61" t="e">
        <f t="shared" si="16"/>
        <v>#N/A</v>
      </c>
      <c r="W27" s="61" t="e">
        <f t="shared" si="16"/>
        <v>#N/A</v>
      </c>
      <c r="X27" s="61" t="e">
        <f t="shared" si="16"/>
        <v>#N/A</v>
      </c>
      <c r="Y27" s="61" t="e">
        <f t="shared" si="16"/>
        <v>#N/A</v>
      </c>
      <c r="Z27" s="61" t="e">
        <f t="shared" si="16"/>
        <v>#N/A</v>
      </c>
      <c r="AA27" s="61" t="e">
        <f t="shared" si="16"/>
        <v>#N/A</v>
      </c>
      <c r="AB27" s="61" t="e">
        <f t="shared" si="16"/>
        <v>#N/A</v>
      </c>
    </row>
    <row r="28" spans="1:29" x14ac:dyDescent="0.3">
      <c r="B28" s="3" t="s">
        <v>186</v>
      </c>
      <c r="C28" s="114" t="e">
        <f t="shared" ref="C28:N28" si="17">((C19-Q19)/Q19)</f>
        <v>#N/A</v>
      </c>
      <c r="D28" s="114" t="e">
        <f t="shared" si="17"/>
        <v>#N/A</v>
      </c>
      <c r="E28" s="114" t="e">
        <f t="shared" si="17"/>
        <v>#N/A</v>
      </c>
      <c r="F28" s="114" t="e">
        <f t="shared" si="17"/>
        <v>#N/A</v>
      </c>
      <c r="G28" s="114" t="e">
        <f t="shared" si="17"/>
        <v>#N/A</v>
      </c>
      <c r="H28" s="114" t="e">
        <f t="shared" si="17"/>
        <v>#N/A</v>
      </c>
      <c r="I28" s="114" t="e">
        <f t="shared" si="17"/>
        <v>#N/A</v>
      </c>
      <c r="J28" s="114" t="e">
        <f t="shared" si="17"/>
        <v>#N/A</v>
      </c>
      <c r="K28" s="114" t="e">
        <f t="shared" si="17"/>
        <v>#N/A</v>
      </c>
      <c r="L28" s="114" t="e">
        <f t="shared" si="17"/>
        <v>#N/A</v>
      </c>
      <c r="M28" s="114" t="e">
        <f t="shared" si="17"/>
        <v>#N/A</v>
      </c>
      <c r="N28" s="114" t="e">
        <f t="shared" si="17"/>
        <v>#N/A</v>
      </c>
      <c r="R28" s="67"/>
      <c r="S28" s="67"/>
      <c r="T28" s="67"/>
      <c r="U28" s="67"/>
      <c r="V28" s="67"/>
      <c r="W28" s="67"/>
      <c r="X28" s="67"/>
      <c r="Y28" s="67"/>
      <c r="Z28" s="67"/>
      <c r="AA28" s="67"/>
      <c r="AB28" s="67"/>
    </row>
    <row r="29" spans="1:29" x14ac:dyDescent="0.3">
      <c r="A29" s="3"/>
      <c r="B29" s="109" t="s">
        <v>187</v>
      </c>
      <c r="C29" s="113" t="e">
        <f t="shared" ref="C29:N29" si="18">(C26)/(water_heat_eff/100)</f>
        <v>#N/A</v>
      </c>
      <c r="D29" s="113" t="e">
        <f t="shared" si="18"/>
        <v>#N/A</v>
      </c>
      <c r="E29" s="113" t="e">
        <f t="shared" si="18"/>
        <v>#N/A</v>
      </c>
      <c r="F29" s="113" t="e">
        <f t="shared" si="18"/>
        <v>#N/A</v>
      </c>
      <c r="G29" s="113" t="e">
        <f t="shared" si="18"/>
        <v>#N/A</v>
      </c>
      <c r="H29" s="113" t="e">
        <f t="shared" si="18"/>
        <v>#N/A</v>
      </c>
      <c r="I29" s="113" t="e">
        <f t="shared" si="18"/>
        <v>#N/A</v>
      </c>
      <c r="J29" s="113" t="e">
        <f t="shared" si="18"/>
        <v>#N/A</v>
      </c>
      <c r="K29" s="113" t="e">
        <f t="shared" si="18"/>
        <v>#N/A</v>
      </c>
      <c r="L29" s="113" t="e">
        <f t="shared" si="18"/>
        <v>#N/A</v>
      </c>
      <c r="M29" s="113" t="e">
        <f t="shared" si="18"/>
        <v>#N/A</v>
      </c>
      <c r="N29" s="113" t="e">
        <f t="shared" si="18"/>
        <v>#N/A</v>
      </c>
      <c r="O29" s="116" t="e">
        <f t="shared" ref="O29:O30" si="19">SUM(C29:N29)</f>
        <v>#N/A</v>
      </c>
      <c r="P29" s="118"/>
      <c r="Q29" s="115" t="e">
        <f t="shared" ref="Q29:AB29" si="20">(Q26)/(water_heat_eff/100)</f>
        <v>#N/A</v>
      </c>
      <c r="R29" s="115" t="e">
        <f t="shared" si="20"/>
        <v>#N/A</v>
      </c>
      <c r="S29" s="115" t="e">
        <f t="shared" si="20"/>
        <v>#N/A</v>
      </c>
      <c r="T29" s="115" t="e">
        <f t="shared" si="20"/>
        <v>#N/A</v>
      </c>
      <c r="U29" s="115" t="e">
        <f t="shared" si="20"/>
        <v>#N/A</v>
      </c>
      <c r="V29" s="115" t="e">
        <f t="shared" si="20"/>
        <v>#N/A</v>
      </c>
      <c r="W29" s="115" t="e">
        <f t="shared" si="20"/>
        <v>#N/A</v>
      </c>
      <c r="X29" s="115" t="e">
        <f t="shared" si="20"/>
        <v>#N/A</v>
      </c>
      <c r="Y29" s="115" t="e">
        <f t="shared" si="20"/>
        <v>#N/A</v>
      </c>
      <c r="Z29" s="115" t="e">
        <f t="shared" si="20"/>
        <v>#N/A</v>
      </c>
      <c r="AA29" s="115" t="e">
        <f t="shared" si="20"/>
        <v>#N/A</v>
      </c>
      <c r="AB29" s="115" t="e">
        <f t="shared" si="20"/>
        <v>#N/A</v>
      </c>
      <c r="AC29" s="116" t="e">
        <f t="shared" ref="AC29:AC30" si="21">SUM(Q29:AB29)</f>
        <v>#N/A</v>
      </c>
    </row>
    <row r="30" spans="1:29" x14ac:dyDescent="0.3">
      <c r="A30" s="3"/>
      <c r="B30" s="109" t="s">
        <v>188</v>
      </c>
      <c r="C30" s="113" t="e">
        <f t="shared" ref="C30:N30" si="22">(C27)/(water_heat_eff/100)</f>
        <v>#N/A</v>
      </c>
      <c r="D30" s="113" t="e">
        <f t="shared" si="22"/>
        <v>#N/A</v>
      </c>
      <c r="E30" s="113" t="e">
        <f t="shared" si="22"/>
        <v>#N/A</v>
      </c>
      <c r="F30" s="113" t="e">
        <f t="shared" si="22"/>
        <v>#N/A</v>
      </c>
      <c r="G30" s="113" t="e">
        <f t="shared" si="22"/>
        <v>#N/A</v>
      </c>
      <c r="H30" s="113" t="e">
        <f t="shared" si="22"/>
        <v>#N/A</v>
      </c>
      <c r="I30" s="113" t="e">
        <f t="shared" si="22"/>
        <v>#N/A</v>
      </c>
      <c r="J30" s="113" t="e">
        <f t="shared" si="22"/>
        <v>#N/A</v>
      </c>
      <c r="K30" s="113" t="e">
        <f t="shared" si="22"/>
        <v>#N/A</v>
      </c>
      <c r="L30" s="113" t="e">
        <f t="shared" si="22"/>
        <v>#N/A</v>
      </c>
      <c r="M30" s="113" t="e">
        <f t="shared" si="22"/>
        <v>#N/A</v>
      </c>
      <c r="N30" s="113" t="e">
        <f t="shared" si="22"/>
        <v>#N/A</v>
      </c>
      <c r="O30" s="116" t="e">
        <f t="shared" si="19"/>
        <v>#N/A</v>
      </c>
      <c r="P30" s="118"/>
      <c r="Q30" s="115" t="e">
        <f t="shared" ref="Q30:AB30" si="23">(Q27)/(water_heat_eff/100)</f>
        <v>#N/A</v>
      </c>
      <c r="R30" s="115" t="e">
        <f t="shared" si="23"/>
        <v>#N/A</v>
      </c>
      <c r="S30" s="115" t="e">
        <f t="shared" si="23"/>
        <v>#N/A</v>
      </c>
      <c r="T30" s="115" t="e">
        <f t="shared" si="23"/>
        <v>#N/A</v>
      </c>
      <c r="U30" s="115" t="e">
        <f t="shared" si="23"/>
        <v>#N/A</v>
      </c>
      <c r="V30" s="115" t="e">
        <f t="shared" si="23"/>
        <v>#N/A</v>
      </c>
      <c r="W30" s="115" t="e">
        <f t="shared" si="23"/>
        <v>#N/A</v>
      </c>
      <c r="X30" s="115" t="e">
        <f t="shared" si="23"/>
        <v>#N/A</v>
      </c>
      <c r="Y30" s="115" t="e">
        <f t="shared" si="23"/>
        <v>#N/A</v>
      </c>
      <c r="Z30" s="115" t="e">
        <f t="shared" si="23"/>
        <v>#N/A</v>
      </c>
      <c r="AA30" s="115" t="e">
        <f t="shared" si="23"/>
        <v>#N/A</v>
      </c>
      <c r="AB30" s="115" t="e">
        <f t="shared" si="23"/>
        <v>#N/A</v>
      </c>
      <c r="AC30" s="116" t="e">
        <f t="shared" si="21"/>
        <v>#N/A</v>
      </c>
    </row>
    <row r="31" spans="1:29" x14ac:dyDescent="0.3">
      <c r="C31" s="114"/>
      <c r="D31" s="114"/>
      <c r="E31" s="114"/>
      <c r="F31" s="114"/>
      <c r="G31" s="114"/>
      <c r="H31" s="114"/>
      <c r="I31" s="114"/>
      <c r="J31" s="114"/>
      <c r="K31" s="114"/>
      <c r="L31" s="114"/>
      <c r="M31" s="114"/>
      <c r="N31" s="114"/>
      <c r="O31" s="110"/>
      <c r="R31" s="67"/>
      <c r="S31" s="67"/>
      <c r="T31" s="67"/>
      <c r="U31" s="67"/>
      <c r="V31" s="67"/>
      <c r="W31" s="67"/>
      <c r="X31" s="67"/>
      <c r="Y31" s="67"/>
      <c r="Z31" s="67"/>
      <c r="AA31" s="67"/>
      <c r="AB31" s="67"/>
      <c r="AC31" s="110"/>
    </row>
    <row r="33" spans="1:76" x14ac:dyDescent="0.3">
      <c r="L33" s="2"/>
      <c r="O33" s="2"/>
      <c r="P33" s="2"/>
      <c r="Q33" s="2"/>
    </row>
    <row r="34" spans="1:76" x14ac:dyDescent="0.3">
      <c r="B34" s="125"/>
      <c r="M34" s="3"/>
      <c r="N34" s="3"/>
      <c r="O34" s="2"/>
      <c r="P34" s="2"/>
      <c r="Q34" s="2"/>
      <c r="X34" s="3"/>
      <c r="Y34" s="3"/>
      <c r="Z34" s="3"/>
    </row>
    <row r="35" spans="1:76" x14ac:dyDescent="0.3">
      <c r="C35" s="69"/>
      <c r="V35" s="3" t="s">
        <v>189</v>
      </c>
      <c r="W35" s="3" t="s">
        <v>190</v>
      </c>
      <c r="X35" s="123" t="s">
        <v>191</v>
      </c>
      <c r="Y35" s="3" t="s">
        <v>189</v>
      </c>
      <c r="Z35" s="3" t="s">
        <v>190</v>
      </c>
      <c r="AA35" s="3" t="s">
        <v>191</v>
      </c>
    </row>
    <row r="36" spans="1:76" ht="28" x14ac:dyDescent="0.3">
      <c r="C36" s="69"/>
      <c r="M36" s="3"/>
      <c r="N36" s="3" t="s">
        <v>192</v>
      </c>
      <c r="O36" s="119" t="s">
        <v>178</v>
      </c>
      <c r="P36" s="3" t="s">
        <v>193</v>
      </c>
      <c r="Q36" s="69" t="e">
        <f>AC20-O20</f>
        <v>#N/A</v>
      </c>
      <c r="R36" s="3" t="s">
        <v>194</v>
      </c>
      <c r="U36" s="3"/>
      <c r="V36" s="2">
        <v>0.13600000000000001</v>
      </c>
      <c r="W36" s="2">
        <v>0.501</v>
      </c>
      <c r="X36" s="120">
        <v>5.59</v>
      </c>
      <c r="Y36" s="127" t="e">
        <f>V36*$Q$36</f>
        <v>#N/A</v>
      </c>
      <c r="Z36" s="2" t="e">
        <f>W36*$Q$36</f>
        <v>#N/A</v>
      </c>
      <c r="AA36" s="2" t="e">
        <f>(X36*$Q$36)/100</f>
        <v>#N/A</v>
      </c>
      <c r="AB36" s="2" t="s">
        <v>192</v>
      </c>
    </row>
    <row r="37" spans="1:76" s="67" customFormat="1" ht="28" x14ac:dyDescent="0.3">
      <c r="A37" s="2"/>
      <c r="B37" s="3"/>
      <c r="C37" s="69"/>
      <c r="D37" s="2"/>
      <c r="E37" s="2"/>
      <c r="F37" s="2"/>
      <c r="G37" s="2"/>
      <c r="K37" s="2"/>
      <c r="L37" s="3"/>
      <c r="M37" s="2"/>
      <c r="N37" s="3" t="s">
        <v>195</v>
      </c>
      <c r="O37" s="119" t="s">
        <v>196</v>
      </c>
      <c r="P37" s="3" t="s">
        <v>197</v>
      </c>
      <c r="Q37" s="133" t="e">
        <f>SUM(AC29:AC30)-SUM(O29:O30)</f>
        <v>#N/A</v>
      </c>
      <c r="R37" s="3" t="s">
        <v>194</v>
      </c>
      <c r="S37" s="2"/>
      <c r="T37" s="2"/>
      <c r="U37" s="2"/>
      <c r="V37" s="2">
        <v>0.21</v>
      </c>
      <c r="W37" s="2">
        <v>1.1299999999999999</v>
      </c>
      <c r="X37" s="120">
        <v>3.64</v>
      </c>
      <c r="Y37" s="2" t="e">
        <f>V37*$Q$37</f>
        <v>#N/A</v>
      </c>
      <c r="Z37" s="2" t="e">
        <f>W37*$Q$37</f>
        <v>#N/A</v>
      </c>
      <c r="AA37" s="2" t="e">
        <f>(X37*$Q$37)/100</f>
        <v>#N/A</v>
      </c>
      <c r="AB37" s="2" t="s">
        <v>195</v>
      </c>
      <c r="AC37" s="2"/>
      <c r="AD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row>
    <row r="38" spans="1:76" x14ac:dyDescent="0.3">
      <c r="N38" s="67"/>
      <c r="P38" s="3"/>
      <c r="Q38" s="69"/>
      <c r="R38" s="3"/>
      <c r="S38" s="67"/>
      <c r="X38" s="124" t="s">
        <v>198</v>
      </c>
      <c r="Y38" s="109" t="e">
        <f>Y37-Y36</f>
        <v>#N/A</v>
      </c>
      <c r="Z38" s="109" t="e">
        <f t="shared" ref="Z38:AA38" si="24">Z37-Z36</f>
        <v>#N/A</v>
      </c>
      <c r="AA38" s="109" t="e">
        <f t="shared" si="24"/>
        <v>#N/A</v>
      </c>
    </row>
    <row r="39" spans="1:76" x14ac:dyDescent="0.3">
      <c r="R39" s="67"/>
      <c r="S39" s="67"/>
      <c r="X39" s="120"/>
    </row>
    <row r="40" spans="1:76" x14ac:dyDescent="0.3">
      <c r="N40" s="3" t="s">
        <v>192</v>
      </c>
      <c r="P40" s="66" t="s">
        <v>199</v>
      </c>
      <c r="Q40" s="122" t="e">
        <f>Q36/3</f>
        <v>#N/A</v>
      </c>
      <c r="R40" s="66" t="s">
        <v>194</v>
      </c>
      <c r="U40" s="3"/>
      <c r="X40" s="120"/>
      <c r="Y40" s="2" t="e">
        <f>V42*$Q$40</f>
        <v>#N/A</v>
      </c>
    </row>
    <row r="41" spans="1:76" x14ac:dyDescent="0.3">
      <c r="H41" s="3"/>
      <c r="N41" s="3" t="s">
        <v>192</v>
      </c>
      <c r="P41" s="66" t="s">
        <v>200</v>
      </c>
      <c r="Q41" s="122" t="e">
        <f>Y36*2/3-(Y36-AH50)</f>
        <v>#N/A</v>
      </c>
      <c r="R41" s="66" t="s">
        <v>201</v>
      </c>
      <c r="X41" s="120"/>
      <c r="Y41" s="2" t="e">
        <f>Q41</f>
        <v>#N/A</v>
      </c>
    </row>
    <row r="42" spans="1:76" s="67" customFormat="1" x14ac:dyDescent="0.3">
      <c r="A42" s="2"/>
      <c r="B42" s="3"/>
      <c r="C42" s="3"/>
      <c r="D42" s="3"/>
      <c r="E42" s="3"/>
      <c r="F42" s="3"/>
      <c r="G42" s="3"/>
      <c r="H42" s="3"/>
      <c r="I42" s="3"/>
      <c r="J42" s="3"/>
      <c r="K42" s="3"/>
      <c r="L42" s="3"/>
      <c r="N42" s="2"/>
      <c r="S42" s="2"/>
      <c r="T42" s="2"/>
      <c r="U42" s="2"/>
      <c r="V42" s="2">
        <v>0.13600000000000001</v>
      </c>
      <c r="W42" s="2">
        <v>1.5009999999999999</v>
      </c>
      <c r="X42" s="120">
        <v>16.489999999999998</v>
      </c>
      <c r="Y42" s="2" t="e">
        <f>Y41+Y40</f>
        <v>#N/A</v>
      </c>
      <c r="Z42" s="2" t="e">
        <f>W42*$Q$40</f>
        <v>#N/A</v>
      </c>
      <c r="AA42" s="2" t="e">
        <f>(X42*$Q$40)/100</f>
        <v>#N/A</v>
      </c>
      <c r="AB42" s="2" t="s">
        <v>192</v>
      </c>
      <c r="AC42" s="2"/>
      <c r="AD42" s="2"/>
      <c r="AE42" s="125" t="s">
        <v>202</v>
      </c>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row>
    <row r="43" spans="1:76" s="67" customFormat="1" ht="140" x14ac:dyDescent="0.3">
      <c r="A43" s="2"/>
      <c r="B43" s="3"/>
      <c r="C43" s="3"/>
      <c r="D43" s="3"/>
      <c r="E43" s="3"/>
      <c r="F43" s="3"/>
      <c r="G43" s="3"/>
      <c r="H43" s="3"/>
      <c r="I43" s="3"/>
      <c r="J43" s="3"/>
      <c r="K43" s="3"/>
      <c r="L43" s="3"/>
      <c r="O43" s="3"/>
      <c r="P43" s="3"/>
      <c r="R43" s="2"/>
      <c r="S43" s="2"/>
      <c r="T43" s="2"/>
      <c r="U43" s="2"/>
      <c r="V43" s="3"/>
      <c r="X43" s="3"/>
      <c r="Z43" s="2"/>
      <c r="AA43" s="2"/>
      <c r="AB43" s="2"/>
      <c r="AC43" s="2"/>
      <c r="AD43" s="2"/>
      <c r="AE43" s="121" t="s">
        <v>203</v>
      </c>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row>
    <row r="44" spans="1:76" s="67" customFormat="1" x14ac:dyDescent="0.3">
      <c r="A44" s="2"/>
      <c r="B44" s="3"/>
      <c r="C44" s="3"/>
      <c r="D44" s="3"/>
      <c r="E44" s="3"/>
      <c r="F44" s="3"/>
      <c r="G44" s="3"/>
      <c r="H44" s="3"/>
      <c r="I44" s="3"/>
      <c r="J44" s="3"/>
      <c r="K44" s="3"/>
      <c r="L44" s="3"/>
      <c r="M44" s="3"/>
      <c r="N44" s="3"/>
      <c r="O44" s="3"/>
      <c r="P44" s="3"/>
      <c r="R44" s="2"/>
      <c r="S44" s="2"/>
      <c r="T44" s="2"/>
      <c r="U44" s="2"/>
      <c r="V44" s="2"/>
      <c r="W44" s="2"/>
      <c r="X44" s="2"/>
      <c r="Z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row>
    <row r="45" spans="1:76" x14ac:dyDescent="0.3">
      <c r="O45" s="3"/>
    </row>
    <row r="46" spans="1:76" x14ac:dyDescent="0.3">
      <c r="S46" s="3" t="s">
        <v>178</v>
      </c>
      <c r="U46" s="3" t="s">
        <v>204</v>
      </c>
      <c r="V46" s="69" t="e">
        <f>Q20</f>
        <v>#N/A</v>
      </c>
      <c r="W46" s="69" t="e">
        <f t="shared" ref="W46:AG46" si="25">R20</f>
        <v>#N/A</v>
      </c>
      <c r="X46" s="69" t="e">
        <f t="shared" si="25"/>
        <v>#N/A</v>
      </c>
      <c r="Y46" s="69" t="e">
        <f t="shared" si="25"/>
        <v>#N/A</v>
      </c>
      <c r="Z46" s="69" t="e">
        <f t="shared" si="25"/>
        <v>#N/A</v>
      </c>
      <c r="AA46" s="69" t="e">
        <f t="shared" si="25"/>
        <v>#N/A</v>
      </c>
      <c r="AB46" s="69" t="e">
        <f t="shared" si="25"/>
        <v>#N/A</v>
      </c>
      <c r="AC46" s="69" t="e">
        <f t="shared" si="25"/>
        <v>#N/A</v>
      </c>
      <c r="AD46" s="69" t="e">
        <f t="shared" si="25"/>
        <v>#N/A</v>
      </c>
      <c r="AE46" s="69" t="e">
        <f t="shared" si="25"/>
        <v>#N/A</v>
      </c>
      <c r="AF46" s="69" t="e">
        <f t="shared" si="25"/>
        <v>#N/A</v>
      </c>
      <c r="AG46" s="69" t="e">
        <f t="shared" si="25"/>
        <v>#N/A</v>
      </c>
      <c r="AH46" s="69" t="e">
        <f>SUM(V46:AG46)</f>
        <v>#N/A</v>
      </c>
    </row>
    <row r="47" spans="1:76" x14ac:dyDescent="0.3">
      <c r="S47" s="3" t="s">
        <v>178</v>
      </c>
      <c r="U47" s="3" t="s">
        <v>205</v>
      </c>
      <c r="V47" s="69" t="e">
        <f>C20</f>
        <v>#N/A</v>
      </c>
      <c r="W47" s="69" t="e">
        <f t="shared" ref="W47:AG47" si="26">D20</f>
        <v>#N/A</v>
      </c>
      <c r="X47" s="69" t="e">
        <f t="shared" si="26"/>
        <v>#N/A</v>
      </c>
      <c r="Y47" s="69" t="e">
        <f t="shared" si="26"/>
        <v>#N/A</v>
      </c>
      <c r="Z47" s="69" t="e">
        <f t="shared" si="26"/>
        <v>#N/A</v>
      </c>
      <c r="AA47" s="69" t="e">
        <f t="shared" si="26"/>
        <v>#N/A</v>
      </c>
      <c r="AB47" s="69" t="e">
        <f t="shared" si="26"/>
        <v>#N/A</v>
      </c>
      <c r="AC47" s="69" t="e">
        <f t="shared" si="26"/>
        <v>#N/A</v>
      </c>
      <c r="AD47" s="69" t="e">
        <f t="shared" si="26"/>
        <v>#N/A</v>
      </c>
      <c r="AE47" s="69" t="e">
        <f t="shared" si="26"/>
        <v>#N/A</v>
      </c>
      <c r="AF47" s="69" t="e">
        <f t="shared" si="26"/>
        <v>#N/A</v>
      </c>
      <c r="AG47" s="69" t="e">
        <f t="shared" si="26"/>
        <v>#N/A</v>
      </c>
      <c r="AH47" s="69" t="e">
        <f>SUM(V47:AG47)</f>
        <v>#N/A</v>
      </c>
    </row>
    <row r="48" spans="1:76" x14ac:dyDescent="0.3">
      <c r="U48" s="3"/>
      <c r="V48" s="69" t="e">
        <f t="shared" ref="V48:AG48" si="27">V46-V47</f>
        <v>#N/A</v>
      </c>
      <c r="W48" s="69" t="e">
        <f t="shared" si="27"/>
        <v>#N/A</v>
      </c>
      <c r="X48" s="69" t="e">
        <f t="shared" si="27"/>
        <v>#N/A</v>
      </c>
      <c r="Y48" s="69" t="e">
        <f t="shared" si="27"/>
        <v>#N/A</v>
      </c>
      <c r="Z48" s="69" t="e">
        <f t="shared" si="27"/>
        <v>#N/A</v>
      </c>
      <c r="AA48" s="69" t="e">
        <f t="shared" si="27"/>
        <v>#N/A</v>
      </c>
      <c r="AB48" s="69" t="e">
        <f t="shared" si="27"/>
        <v>#N/A</v>
      </c>
      <c r="AC48" s="69" t="e">
        <f t="shared" si="27"/>
        <v>#N/A</v>
      </c>
      <c r="AD48" s="69" t="e">
        <f t="shared" si="27"/>
        <v>#N/A</v>
      </c>
      <c r="AE48" s="69" t="e">
        <f t="shared" si="27"/>
        <v>#N/A</v>
      </c>
      <c r="AF48" s="69" t="e">
        <f t="shared" si="27"/>
        <v>#N/A</v>
      </c>
      <c r="AG48" s="69" t="e">
        <f t="shared" si="27"/>
        <v>#N/A</v>
      </c>
      <c r="AH48" s="69" t="e">
        <f>AH47-AH46</f>
        <v>#N/A</v>
      </c>
    </row>
    <row r="49" spans="21:34" ht="70.5" x14ac:dyDescent="0.35">
      <c r="U49" s="121" t="s">
        <v>206</v>
      </c>
      <c r="V49" s="70">
        <v>0.19600000000000001</v>
      </c>
      <c r="W49" s="66">
        <v>0.19</v>
      </c>
      <c r="X49" s="66">
        <v>0.17499999999999999</v>
      </c>
      <c r="Y49" s="3">
        <v>0.153</v>
      </c>
      <c r="Z49" s="3">
        <v>0.129</v>
      </c>
      <c r="AA49" s="3">
        <v>0.106</v>
      </c>
      <c r="AB49" s="3">
        <v>9.1999999999999998E-2</v>
      </c>
      <c r="AC49" s="3">
        <v>9.2999999999999999E-2</v>
      </c>
      <c r="AD49" s="3">
        <v>0.11</v>
      </c>
      <c r="AE49" s="3">
        <v>0.13800000000000001</v>
      </c>
      <c r="AF49" s="3">
        <v>0.16900000000000001</v>
      </c>
      <c r="AG49" s="3">
        <v>0.19700000000000001</v>
      </c>
      <c r="AH49" s="3"/>
    </row>
    <row r="50" spans="21:34" x14ac:dyDescent="0.3">
      <c r="U50" s="3"/>
      <c r="V50" s="3" t="e">
        <f>V48*V49</f>
        <v>#N/A</v>
      </c>
      <c r="W50" s="3" t="e">
        <f t="shared" ref="W50:AG50" si="28">W48*W49</f>
        <v>#N/A</v>
      </c>
      <c r="X50" s="3" t="e">
        <f t="shared" si="28"/>
        <v>#N/A</v>
      </c>
      <c r="Y50" s="3" t="e">
        <f t="shared" si="28"/>
        <v>#N/A</v>
      </c>
      <c r="Z50" s="3" t="e">
        <f t="shared" si="28"/>
        <v>#N/A</v>
      </c>
      <c r="AA50" s="3" t="e">
        <f t="shared" si="28"/>
        <v>#N/A</v>
      </c>
      <c r="AB50" s="3" t="e">
        <f t="shared" si="28"/>
        <v>#N/A</v>
      </c>
      <c r="AC50" s="3" t="e">
        <f t="shared" si="28"/>
        <v>#N/A</v>
      </c>
      <c r="AD50" s="3" t="e">
        <f t="shared" si="28"/>
        <v>#N/A</v>
      </c>
      <c r="AE50" s="3" t="e">
        <f t="shared" si="28"/>
        <v>#N/A</v>
      </c>
      <c r="AF50" s="3" t="e">
        <f t="shared" si="28"/>
        <v>#N/A</v>
      </c>
      <c r="AG50" s="3" t="e">
        <f t="shared" si="28"/>
        <v>#N/A</v>
      </c>
      <c r="AH50" s="109" t="e">
        <f>SUM(V50:AG50)</f>
        <v>#N/A</v>
      </c>
    </row>
    <row r="51" spans="21:34" x14ac:dyDescent="0.3">
      <c r="AH51" s="2" t="e">
        <f>Y36-AH50</f>
        <v>#N/A</v>
      </c>
    </row>
    <row r="95" spans="76:76" ht="14.5" x14ac:dyDescent="0.35">
      <c r="BX95" s="18"/>
    </row>
    <row r="96" spans="76:76" ht="14.5" x14ac:dyDescent="0.35">
      <c r="BX96" s="16"/>
    </row>
    <row r="97" spans="76:76" ht="14.5" x14ac:dyDescent="0.35">
      <c r="BX97" s="16"/>
    </row>
    <row r="98" spans="76:76" ht="14.5" x14ac:dyDescent="0.35">
      <c r="BX98" s="16"/>
    </row>
    <row r="99" spans="76:76" ht="14.5" x14ac:dyDescent="0.35">
      <c r="BX99" s="16"/>
    </row>
    <row r="149" spans="32:45" ht="14.5" x14ac:dyDescent="0.35">
      <c r="AF149" s="16"/>
      <c r="AG149" s="16"/>
      <c r="AH149" s="16"/>
      <c r="AI149" s="16"/>
      <c r="AJ149" s="16"/>
    </row>
    <row r="150" spans="32:45" ht="14.5" x14ac:dyDescent="0.35">
      <c r="AF150" s="16"/>
      <c r="AG150" s="16"/>
      <c r="AH150" s="16"/>
      <c r="AI150" s="16"/>
      <c r="AJ150" s="16"/>
    </row>
    <row r="151" spans="32:45" ht="14.5" x14ac:dyDescent="0.35">
      <c r="AG151" s="16"/>
      <c r="AH151" s="16"/>
      <c r="AI151" s="16"/>
      <c r="AJ151" s="16"/>
    </row>
    <row r="152" spans="32:45" ht="14.5" x14ac:dyDescent="0.35">
      <c r="AG152" s="16"/>
      <c r="AH152" s="16"/>
      <c r="AI152" s="16"/>
      <c r="AJ152" s="16"/>
    </row>
    <row r="153" spans="32:45" ht="14.5" x14ac:dyDescent="0.35">
      <c r="AG153" s="16"/>
      <c r="AH153" s="16"/>
      <c r="AI153" s="16"/>
      <c r="AJ153" s="16"/>
    </row>
    <row r="154" spans="32:45" ht="14.5" x14ac:dyDescent="0.35">
      <c r="AG154" s="16"/>
      <c r="AH154" s="16"/>
      <c r="AI154" s="16"/>
      <c r="AJ154" s="16"/>
      <c r="AS154" s="58"/>
    </row>
    <row r="156" spans="32:45" x14ac:dyDescent="0.3">
      <c r="AS156" s="58"/>
    </row>
    <row r="160" spans="32:45" x14ac:dyDescent="0.3">
      <c r="AS160" s="58"/>
    </row>
    <row r="162" spans="45:61" x14ac:dyDescent="0.3">
      <c r="AS162" s="58"/>
    </row>
    <row r="163" spans="45:61" x14ac:dyDescent="0.3">
      <c r="AS163" s="58"/>
    </row>
    <row r="164" spans="45:61" x14ac:dyDescent="0.3">
      <c r="AY164" s="29"/>
      <c r="BA164" s="29"/>
      <c r="BC164" s="29"/>
      <c r="BE164" s="29"/>
      <c r="BF164" s="29"/>
      <c r="BH164" s="29"/>
    </row>
    <row r="165" spans="45:61" x14ac:dyDescent="0.3">
      <c r="AY165" s="54"/>
      <c r="BA165" s="54"/>
      <c r="BC165" s="54"/>
      <c r="BE165" s="54"/>
      <c r="BF165" s="54"/>
      <c r="BH165" s="54"/>
    </row>
    <row r="166" spans="45:61" x14ac:dyDescent="0.3">
      <c r="AY166" s="29"/>
      <c r="BA166" s="29"/>
      <c r="BC166" s="29"/>
      <c r="BE166" s="29"/>
      <c r="BF166" s="29"/>
      <c r="BH166" s="29"/>
    </row>
    <row r="167" spans="45:61" x14ac:dyDescent="0.3">
      <c r="AY167" s="29"/>
      <c r="BA167" s="29"/>
      <c r="BC167" s="29"/>
      <c r="BE167" s="29"/>
      <c r="BF167" s="29"/>
      <c r="BH167" s="29"/>
    </row>
    <row r="168" spans="45:61" x14ac:dyDescent="0.3">
      <c r="AY168" s="29"/>
      <c r="BA168" s="29"/>
      <c r="BC168" s="29"/>
      <c r="BE168" s="29"/>
      <c r="BF168" s="29"/>
      <c r="BH168" s="29"/>
    </row>
    <row r="169" spans="45:61" x14ac:dyDescent="0.3">
      <c r="AX169" s="3"/>
      <c r="AY169" s="54"/>
      <c r="AZ169" s="3"/>
      <c r="BA169" s="54"/>
      <c r="BB169" s="3"/>
      <c r="BC169" s="54"/>
      <c r="BD169" s="3"/>
      <c r="BE169" s="54"/>
      <c r="BF169" s="54"/>
      <c r="BG169" s="3"/>
      <c r="BH169" s="54"/>
      <c r="BI169" s="3"/>
    </row>
    <row r="170" spans="45:61" x14ac:dyDescent="0.3">
      <c r="AY170" s="29"/>
      <c r="BA170" s="29"/>
      <c r="BC170" s="29"/>
      <c r="BE170" s="29"/>
      <c r="BF170" s="29"/>
      <c r="BH170" s="29"/>
    </row>
    <row r="171" spans="45:61" x14ac:dyDescent="0.3">
      <c r="AY171" s="29"/>
      <c r="BA171" s="29"/>
      <c r="BC171" s="29"/>
      <c r="BE171" s="29"/>
      <c r="BF171" s="29"/>
      <c r="BH171" s="29"/>
    </row>
    <row r="172" spans="45:61" x14ac:dyDescent="0.3">
      <c r="AY172" s="57"/>
      <c r="BA172" s="57"/>
      <c r="BC172" s="57"/>
      <c r="BE172" s="57"/>
      <c r="BF172" s="57"/>
      <c r="BH172" s="57"/>
    </row>
    <row r="173" spans="45:61" x14ac:dyDescent="0.3">
      <c r="AY173" s="29"/>
      <c r="BA173" s="29"/>
      <c r="BC173" s="29"/>
      <c r="BE173" s="29"/>
      <c r="BF173" s="29"/>
      <c r="BH173" s="29"/>
    </row>
    <row r="174" spans="45:61" x14ac:dyDescent="0.3">
      <c r="AY174" s="29"/>
      <c r="BA174" s="29"/>
      <c r="BC174" s="29"/>
      <c r="BE174" s="29"/>
      <c r="BF174" s="29"/>
      <c r="BH174" s="29"/>
    </row>
    <row r="175" spans="45:61" x14ac:dyDescent="0.3">
      <c r="AY175" s="29"/>
      <c r="BA175" s="29"/>
      <c r="BC175" s="29"/>
      <c r="BE175" s="29"/>
      <c r="BF175" s="29"/>
      <c r="BH175" s="29"/>
    </row>
    <row r="176" spans="45:61" x14ac:dyDescent="0.3">
      <c r="AY176" s="29"/>
      <c r="BA176" s="29"/>
      <c r="BC176" s="29"/>
      <c r="BE176" s="29"/>
      <c r="BF176" s="29"/>
      <c r="BH176" s="29"/>
    </row>
    <row r="177" spans="32:60" x14ac:dyDescent="0.3">
      <c r="AY177" s="29"/>
      <c r="BA177" s="29"/>
      <c r="BC177" s="29"/>
      <c r="BE177" s="29"/>
      <c r="BF177" s="29"/>
      <c r="BH177" s="29"/>
    </row>
    <row r="178" spans="32:60" x14ac:dyDescent="0.3">
      <c r="AY178" s="29"/>
      <c r="BA178" s="29"/>
      <c r="BC178" s="29"/>
      <c r="BE178" s="29"/>
      <c r="BF178" s="29"/>
      <c r="BH178" s="29"/>
    </row>
    <row r="179" spans="32:60" x14ac:dyDescent="0.3">
      <c r="AY179" s="29"/>
      <c r="BA179" s="29"/>
      <c r="BC179" s="29"/>
      <c r="BE179" s="29"/>
      <c r="BF179" s="29"/>
      <c r="BH179" s="29"/>
    </row>
    <row r="180" spans="32:60" x14ac:dyDescent="0.3">
      <c r="AY180" s="29"/>
      <c r="BA180" s="29"/>
      <c r="BC180" s="29"/>
      <c r="BE180" s="29"/>
      <c r="BF180" s="29"/>
      <c r="BH180" s="29"/>
    </row>
    <row r="181" spans="32:60" ht="14.5" x14ac:dyDescent="0.35">
      <c r="AY181" s="29"/>
      <c r="AZ181" s="29"/>
      <c r="BD181"/>
      <c r="BE181"/>
    </row>
    <row r="182" spans="32:60" ht="14.5" x14ac:dyDescent="0.35">
      <c r="AY182" s="29"/>
      <c r="AZ182" s="29"/>
      <c r="BD182"/>
      <c r="BE182"/>
    </row>
    <row r="183" spans="32:60" ht="14.5" x14ac:dyDescent="0.35">
      <c r="BD183"/>
      <c r="BE183"/>
    </row>
    <row r="184" spans="32:60" x14ac:dyDescent="0.3">
      <c r="AY184" s="29"/>
      <c r="AZ184" s="29"/>
      <c r="BB184" s="1"/>
    </row>
    <row r="185" spans="32:60" x14ac:dyDescent="0.3">
      <c r="AY185" s="29"/>
      <c r="AZ185" s="29"/>
    </row>
    <row r="186" spans="32:60" x14ac:dyDescent="0.3">
      <c r="AY186" s="29"/>
      <c r="AZ186" s="29"/>
    </row>
    <row r="187" spans="32:60" x14ac:dyDescent="0.3">
      <c r="AY187" s="29"/>
      <c r="AZ187" s="29"/>
    </row>
    <row r="188" spans="32:60" x14ac:dyDescent="0.3">
      <c r="AF188" s="8"/>
      <c r="AG188" s="8"/>
      <c r="AH188" s="8"/>
      <c r="AI188" s="8"/>
      <c r="AJ188" s="8"/>
      <c r="AK188" s="8"/>
      <c r="AL188" s="8"/>
      <c r="AM188" s="8"/>
      <c r="AN188" s="8"/>
      <c r="AO188" s="8"/>
      <c r="AY188" s="29"/>
      <c r="AZ188" s="29"/>
    </row>
    <row r="189" spans="32:60" x14ac:dyDescent="0.3">
      <c r="AF189" s="62"/>
      <c r="AG189" s="62"/>
      <c r="AH189" s="62"/>
      <c r="AI189" s="62"/>
      <c r="AJ189" s="62"/>
      <c r="AK189" s="62"/>
      <c r="AL189" s="62"/>
      <c r="AM189" s="62"/>
      <c r="AN189" s="62"/>
      <c r="AO189" s="62"/>
      <c r="AY189" s="29"/>
      <c r="AZ189" s="37"/>
    </row>
    <row r="190" spans="32:60" x14ac:dyDescent="0.3">
      <c r="AF190" s="58"/>
      <c r="AG190" s="58"/>
      <c r="AH190" s="58"/>
      <c r="AI190" s="58"/>
      <c r="AJ190" s="58"/>
      <c r="AK190" s="58"/>
      <c r="AL190" s="58"/>
      <c r="AM190" s="58"/>
      <c r="AN190" s="58"/>
      <c r="AO190" s="58"/>
      <c r="AY190" s="29"/>
      <c r="AZ190" s="29"/>
      <c r="BA190" s="41"/>
    </row>
    <row r="191" spans="32:60" x14ac:dyDescent="0.3">
      <c r="AF191" s="58"/>
      <c r="AG191" s="58"/>
      <c r="AH191" s="58"/>
      <c r="AI191" s="58"/>
      <c r="AJ191" s="58"/>
      <c r="AK191" s="58"/>
      <c r="AL191" s="58"/>
      <c r="AM191" s="58"/>
      <c r="AN191" s="58"/>
      <c r="AO191" s="58"/>
      <c r="AY191" s="29"/>
      <c r="AZ191" s="29"/>
    </row>
    <row r="192" spans="32:60" x14ac:dyDescent="0.3">
      <c r="AF192" s="58"/>
      <c r="AG192" s="58"/>
      <c r="AH192" s="58"/>
      <c r="AI192" s="58"/>
      <c r="AJ192" s="58"/>
      <c r="AK192" s="58"/>
      <c r="AL192" s="58"/>
      <c r="AM192" s="58"/>
      <c r="AN192" s="58"/>
      <c r="AO192" s="58"/>
      <c r="AY192" s="29"/>
      <c r="AZ192" s="29"/>
    </row>
    <row r="193" spans="32:53" x14ac:dyDescent="0.3">
      <c r="AF193" s="58"/>
      <c r="AG193" s="58"/>
      <c r="AH193" s="58"/>
      <c r="AI193" s="58"/>
      <c r="AJ193" s="58"/>
      <c r="AK193" s="58"/>
      <c r="AL193" s="58"/>
      <c r="AM193" s="58"/>
      <c r="AN193" s="58"/>
      <c r="AO193" s="58"/>
      <c r="AY193" s="29"/>
      <c r="AZ193" s="29"/>
      <c r="BA193" s="41"/>
    </row>
    <row r="194" spans="32:53" x14ac:dyDescent="0.3">
      <c r="AF194" s="58"/>
      <c r="AG194" s="58"/>
      <c r="AH194" s="58"/>
      <c r="AI194" s="58"/>
      <c r="AJ194" s="58"/>
      <c r="AK194" s="58"/>
      <c r="AL194" s="58"/>
      <c r="AM194" s="58"/>
      <c r="AN194" s="58"/>
      <c r="AO194" s="58"/>
      <c r="AY194" s="29"/>
      <c r="AZ194" s="29"/>
      <c r="BA194" s="41"/>
    </row>
    <row r="195" spans="32:53" x14ac:dyDescent="0.3">
      <c r="AF195" s="58"/>
      <c r="AG195" s="58"/>
      <c r="AH195" s="58"/>
      <c r="AI195" s="58"/>
      <c r="AJ195" s="58"/>
      <c r="AK195" s="58"/>
      <c r="AL195" s="58"/>
      <c r="AM195" s="58"/>
      <c r="AN195" s="58"/>
      <c r="AO195" s="58"/>
      <c r="AY195" s="29"/>
      <c r="AZ195" s="29"/>
      <c r="BA195" s="41"/>
    </row>
    <row r="196" spans="32:53" x14ac:dyDescent="0.3">
      <c r="AF196" s="63"/>
      <c r="AG196" s="63"/>
      <c r="AH196" s="63"/>
      <c r="AI196" s="63"/>
      <c r="AJ196" s="63"/>
      <c r="AK196" s="63"/>
      <c r="AL196" s="63"/>
      <c r="AM196" s="63"/>
      <c r="AN196" s="63"/>
      <c r="AO196" s="63"/>
      <c r="AY196" s="29"/>
      <c r="AZ196" s="29"/>
      <c r="BA196" s="37"/>
    </row>
    <row r="197" spans="32:53" x14ac:dyDescent="0.3">
      <c r="AF197" s="63"/>
      <c r="AG197" s="63"/>
      <c r="AH197" s="63"/>
      <c r="AI197" s="63"/>
      <c r="AJ197" s="63"/>
      <c r="AK197" s="63"/>
      <c r="AL197" s="63"/>
      <c r="AM197" s="63"/>
      <c r="AN197" s="63"/>
      <c r="AO197" s="63"/>
      <c r="AY197" s="29"/>
      <c r="AZ197" s="29"/>
    </row>
    <row r="198" spans="32:53" x14ac:dyDescent="0.3">
      <c r="AF198" s="64"/>
      <c r="AG198" s="64"/>
      <c r="AH198" s="64"/>
      <c r="AI198" s="64"/>
      <c r="AJ198" s="64"/>
      <c r="AK198" s="64"/>
      <c r="AL198" s="64"/>
      <c r="AM198" s="64"/>
      <c r="AN198" s="64"/>
      <c r="AO198" s="64"/>
      <c r="AY198" s="29"/>
      <c r="AZ198" s="29"/>
    </row>
    <row r="199" spans="32:53" x14ac:dyDescent="0.3">
      <c r="AF199" s="65"/>
      <c r="AG199" s="65"/>
      <c r="AH199" s="65"/>
      <c r="AI199" s="65"/>
      <c r="AJ199" s="65"/>
      <c r="AK199" s="65"/>
      <c r="AL199" s="65"/>
      <c r="AM199" s="65"/>
      <c r="AN199" s="65"/>
      <c r="AO199" s="65"/>
      <c r="AX199" s="1"/>
      <c r="AY199" s="29"/>
      <c r="AZ199" s="29"/>
    </row>
    <row r="200" spans="32:53" x14ac:dyDescent="0.3">
      <c r="AY200" s="29"/>
      <c r="AZ200" s="29"/>
    </row>
    <row r="201" spans="32:53" x14ac:dyDescent="0.3">
      <c r="AY201" s="29"/>
      <c r="AZ201" s="29"/>
    </row>
    <row r="202" spans="32:53" x14ac:dyDescent="0.3">
      <c r="AY202" s="29"/>
      <c r="AZ202" s="30"/>
    </row>
    <row r="203" spans="32:53" x14ac:dyDescent="0.3">
      <c r="AY203" s="29"/>
      <c r="AZ203" s="29"/>
    </row>
    <row r="204" spans="32:53" x14ac:dyDescent="0.3">
      <c r="AY204" s="29"/>
      <c r="AZ204" s="29"/>
    </row>
    <row r="205" spans="32:53" x14ac:dyDescent="0.3">
      <c r="AY205" s="29"/>
      <c r="AZ205" s="29"/>
    </row>
    <row r="206" spans="32:53" x14ac:dyDescent="0.3">
      <c r="AY206" s="29"/>
      <c r="AZ206" s="29"/>
    </row>
    <row r="207" spans="32:53" x14ac:dyDescent="0.3">
      <c r="AY207" s="29"/>
      <c r="AZ207" s="29"/>
    </row>
    <row r="208" spans="32:53" x14ac:dyDescent="0.3">
      <c r="AY208" s="29"/>
      <c r="AZ208" s="29"/>
    </row>
    <row r="209" spans="51:52" x14ac:dyDescent="0.3">
      <c r="AY209" s="29"/>
      <c r="AZ209" s="29"/>
    </row>
    <row r="210" spans="51:52" x14ac:dyDescent="0.3">
      <c r="AY210" s="29"/>
      <c r="AZ210" s="29"/>
    </row>
    <row r="211" spans="51:52" x14ac:dyDescent="0.3">
      <c r="AY211" s="29"/>
      <c r="AZ211" s="29"/>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1749F-01F4-4FF4-906A-E9BAE2284B46}">
  <sheetPr codeName="Sheet5">
    <tabColor theme="5"/>
  </sheetPr>
  <dimension ref="A1"/>
  <sheetViews>
    <sheetView showGridLines="0" zoomScale="85" zoomScaleNormal="85" workbookViewId="0">
      <selection activeCell="J49" sqref="J49"/>
    </sheetView>
  </sheetViews>
  <sheetFormatPr defaultRowHeight="14.5" x14ac:dyDescent="0.35"/>
  <sheetData/>
  <sheetProtection algorithmName="SHA-512" hashValue="rRQebOJ08fC0xIjHosQ6DcxQXL3AFZVRLWZToXjigMoAp+7rTnIMTl4rFUYd8Sf4+3dLnte/MvBrZA7sR9/sjw==" saltValue="g3IfTaB9iTkkx2iQk7nE4w==" spinCount="100000" sheet="1" objects="1" scenarios="1"/>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7CD9A-2C68-4A52-8888-9EE0C6AB9760}">
  <sheetPr codeName="Sheet7">
    <tabColor theme="6"/>
  </sheetPr>
  <dimension ref="A1:AE121"/>
  <sheetViews>
    <sheetView showGridLines="0" zoomScale="40" zoomScaleNormal="40" workbookViewId="0">
      <selection activeCell="A2" sqref="A2"/>
    </sheetView>
  </sheetViews>
  <sheetFormatPr defaultRowHeight="14.5" x14ac:dyDescent="0.35"/>
  <cols>
    <col min="1" max="1" width="18.26953125" style="10" customWidth="1"/>
    <col min="2" max="2" width="47" bestFit="1" customWidth="1"/>
    <col min="3" max="3" width="20.7265625" customWidth="1"/>
    <col min="4" max="4" width="18.453125" customWidth="1"/>
    <col min="5" max="5" width="20.26953125" customWidth="1"/>
    <col min="6" max="6" width="24" customWidth="1"/>
    <col min="7" max="7" width="12.26953125" customWidth="1"/>
    <col min="9" max="9" width="19" customWidth="1"/>
    <col min="10" max="10" width="18.7265625" customWidth="1"/>
    <col min="11" max="11" width="69" bestFit="1" customWidth="1"/>
    <col min="12" max="12" width="20.7265625" customWidth="1"/>
    <col min="13" max="13" width="18.453125" customWidth="1"/>
    <col min="14" max="14" width="20.26953125" customWidth="1"/>
    <col min="15" max="15" width="24" customWidth="1"/>
    <col min="16" max="16" width="12.26953125" customWidth="1"/>
  </cols>
  <sheetData>
    <row r="1" spans="1:11" x14ac:dyDescent="0.35">
      <c r="E1" s="2"/>
    </row>
    <row r="2" spans="1:11" ht="27.75" customHeight="1" x14ac:dyDescent="0.4">
      <c r="A2" s="28" t="s">
        <v>207</v>
      </c>
      <c r="B2" s="28" t="s">
        <v>208</v>
      </c>
      <c r="C2" s="28" t="s">
        <v>209</v>
      </c>
      <c r="D2" s="28" t="s">
        <v>210</v>
      </c>
      <c r="E2" s="28" t="s">
        <v>211</v>
      </c>
      <c r="F2" s="28" t="s">
        <v>212</v>
      </c>
      <c r="G2" s="28" t="s">
        <v>213</v>
      </c>
      <c r="I2" s="36" t="s">
        <v>214</v>
      </c>
      <c r="K2" s="36" t="s">
        <v>215</v>
      </c>
    </row>
    <row r="3" spans="1:11" x14ac:dyDescent="0.35">
      <c r="A3" s="10" t="s">
        <v>216</v>
      </c>
      <c r="B3" t="s">
        <v>197</v>
      </c>
      <c r="C3">
        <v>92</v>
      </c>
      <c r="D3">
        <v>3.64</v>
      </c>
      <c r="E3">
        <v>0.21</v>
      </c>
      <c r="F3">
        <v>1.1299999999999999</v>
      </c>
      <c r="G3">
        <v>1</v>
      </c>
      <c r="I3" s="32" t="s">
        <v>217</v>
      </c>
      <c r="K3" s="32" t="s">
        <v>218</v>
      </c>
    </row>
    <row r="4" spans="1:11" x14ac:dyDescent="0.35">
      <c r="A4" s="10" t="s">
        <v>216</v>
      </c>
      <c r="B4" t="s">
        <v>219</v>
      </c>
      <c r="C4">
        <v>62</v>
      </c>
      <c r="D4">
        <v>6.74</v>
      </c>
      <c r="E4">
        <v>0.24099999999999999</v>
      </c>
      <c r="F4">
        <v>1.141</v>
      </c>
      <c r="G4">
        <v>2</v>
      </c>
      <c r="I4" s="32" t="s">
        <v>220</v>
      </c>
      <c r="K4" s="32" t="s">
        <v>221</v>
      </c>
    </row>
    <row r="5" spans="1:11" x14ac:dyDescent="0.35">
      <c r="A5" s="10" t="s">
        <v>216</v>
      </c>
      <c r="B5" s="7" t="s">
        <v>222</v>
      </c>
      <c r="C5" s="56"/>
      <c r="D5">
        <v>9.4600000000000009</v>
      </c>
      <c r="E5">
        <v>0.24099999999999999</v>
      </c>
      <c r="F5">
        <v>1.141</v>
      </c>
      <c r="G5">
        <v>3</v>
      </c>
      <c r="I5" s="32" t="s">
        <v>223</v>
      </c>
      <c r="J5" s="51"/>
      <c r="K5" s="32" t="s">
        <v>224</v>
      </c>
    </row>
    <row r="6" spans="1:11" ht="39.4" customHeight="1" x14ac:dyDescent="0.35">
      <c r="A6" s="10" t="s">
        <v>216</v>
      </c>
      <c r="B6" t="s">
        <v>225</v>
      </c>
      <c r="D6">
        <v>11.2</v>
      </c>
      <c r="E6">
        <v>0.24099999999999999</v>
      </c>
      <c r="F6">
        <v>1.133</v>
      </c>
      <c r="G6">
        <v>5</v>
      </c>
      <c r="I6" s="32" t="s">
        <v>226</v>
      </c>
      <c r="K6" s="32" t="s">
        <v>227</v>
      </c>
    </row>
    <row r="7" spans="1:11" x14ac:dyDescent="0.35">
      <c r="A7" s="10" t="s">
        <v>216</v>
      </c>
      <c r="B7" t="s">
        <v>228</v>
      </c>
      <c r="C7">
        <v>92</v>
      </c>
      <c r="D7">
        <v>3.64</v>
      </c>
      <c r="E7">
        <v>0.24099999999999999</v>
      </c>
      <c r="F7">
        <v>1.163</v>
      </c>
      <c r="G7">
        <v>9</v>
      </c>
      <c r="I7" s="32" t="s">
        <v>229</v>
      </c>
      <c r="K7" s="32" t="s">
        <v>230</v>
      </c>
    </row>
    <row r="8" spans="1:11" ht="26.25" customHeight="1" x14ac:dyDescent="0.35">
      <c r="A8" s="10" t="s">
        <v>216</v>
      </c>
      <c r="B8" t="s">
        <v>231</v>
      </c>
      <c r="C8">
        <v>62</v>
      </c>
      <c r="D8">
        <v>6.74</v>
      </c>
      <c r="E8">
        <v>2.4E-2</v>
      </c>
      <c r="F8">
        <v>1.286</v>
      </c>
      <c r="G8">
        <v>7</v>
      </c>
      <c r="I8" s="32" t="s">
        <v>232</v>
      </c>
      <c r="K8" s="32" t="s">
        <v>233</v>
      </c>
    </row>
    <row r="9" spans="1:11" ht="39.4" customHeight="1" x14ac:dyDescent="0.35">
      <c r="A9" s="10" t="s">
        <v>216</v>
      </c>
      <c r="B9" t="s">
        <v>234</v>
      </c>
      <c r="D9">
        <v>4.9400000000000004</v>
      </c>
      <c r="E9">
        <v>0.29799999999999999</v>
      </c>
      <c r="F9">
        <v>1.18</v>
      </c>
      <c r="G9">
        <v>4</v>
      </c>
      <c r="K9" s="32" t="s">
        <v>235</v>
      </c>
    </row>
    <row r="10" spans="1:11" x14ac:dyDescent="0.35">
      <c r="A10" s="10" t="s">
        <v>236</v>
      </c>
      <c r="B10" t="s">
        <v>237</v>
      </c>
      <c r="D10">
        <v>6.79</v>
      </c>
      <c r="E10" s="4">
        <v>3.5999999999999997E-2</v>
      </c>
      <c r="F10" t="s">
        <v>238</v>
      </c>
      <c r="G10">
        <v>71</v>
      </c>
      <c r="K10" s="32" t="s">
        <v>239</v>
      </c>
    </row>
    <row r="11" spans="1:11" x14ac:dyDescent="0.35">
      <c r="A11" s="10" t="s">
        <v>236</v>
      </c>
      <c r="B11" t="s">
        <v>240</v>
      </c>
      <c r="D11">
        <v>6.79</v>
      </c>
      <c r="E11">
        <v>1.7999999999999999E-2</v>
      </c>
      <c r="F11">
        <v>1.042</v>
      </c>
      <c r="G11">
        <v>73</v>
      </c>
    </row>
    <row r="12" spans="1:11" x14ac:dyDescent="0.35">
      <c r="A12" s="10" t="s">
        <v>236</v>
      </c>
      <c r="B12" t="s">
        <v>241</v>
      </c>
      <c r="D12">
        <v>5.49</v>
      </c>
      <c r="E12">
        <v>0.214</v>
      </c>
      <c r="F12" s="4" t="s">
        <v>242</v>
      </c>
      <c r="G12">
        <v>75</v>
      </c>
    </row>
    <row r="13" spans="1:11" x14ac:dyDescent="0.35">
      <c r="A13" s="10" t="s">
        <v>236</v>
      </c>
      <c r="B13" t="s">
        <v>243</v>
      </c>
      <c r="D13">
        <v>47</v>
      </c>
      <c r="E13">
        <v>0.105</v>
      </c>
      <c r="F13">
        <v>1.472</v>
      </c>
      <c r="G13">
        <v>76</v>
      </c>
    </row>
    <row r="14" spans="1:11" x14ac:dyDescent="0.35">
      <c r="A14" s="10" t="s">
        <v>244</v>
      </c>
      <c r="B14" t="s">
        <v>245</v>
      </c>
      <c r="D14">
        <v>5.58</v>
      </c>
      <c r="E14">
        <v>0.39500000000000002</v>
      </c>
      <c r="F14">
        <v>1.0640000000000001</v>
      </c>
      <c r="G14">
        <v>11</v>
      </c>
      <c r="I14" s="55" t="s">
        <v>217</v>
      </c>
    </row>
    <row r="15" spans="1:11" ht="26.25" customHeight="1" x14ac:dyDescent="0.35">
      <c r="A15" s="10" t="s">
        <v>244</v>
      </c>
      <c r="B15" t="s">
        <v>246</v>
      </c>
      <c r="D15">
        <v>4.1900000000000004</v>
      </c>
      <c r="E15">
        <v>0.39500000000000002</v>
      </c>
      <c r="F15">
        <v>1.0640000000000001</v>
      </c>
      <c r="G15">
        <v>15</v>
      </c>
    </row>
    <row r="16" spans="1:11" x14ac:dyDescent="0.35">
      <c r="A16" s="10" t="s">
        <v>244</v>
      </c>
      <c r="B16" t="s">
        <v>247</v>
      </c>
      <c r="D16">
        <v>5.91</v>
      </c>
      <c r="E16">
        <v>0.36599999999999999</v>
      </c>
      <c r="F16">
        <v>1.2609999999999999</v>
      </c>
      <c r="G16">
        <v>12</v>
      </c>
    </row>
    <row r="17" spans="1:31" ht="39.4" customHeight="1" x14ac:dyDescent="0.35">
      <c r="A17" s="10" t="s">
        <v>244</v>
      </c>
      <c r="B17" t="s">
        <v>248</v>
      </c>
      <c r="D17">
        <v>5.12</v>
      </c>
      <c r="E17">
        <v>2.8000000000000001E-2</v>
      </c>
      <c r="F17">
        <v>1.046</v>
      </c>
      <c r="G17">
        <v>20</v>
      </c>
    </row>
    <row r="18" spans="1:31" ht="39.4" customHeight="1" x14ac:dyDescent="0.35">
      <c r="A18" s="10" t="s">
        <v>244</v>
      </c>
      <c r="B18" t="s">
        <v>249</v>
      </c>
      <c r="D18">
        <v>6.91</v>
      </c>
      <c r="E18">
        <v>5.2999999999999999E-2</v>
      </c>
      <c r="F18">
        <v>1.325</v>
      </c>
      <c r="G18">
        <v>22</v>
      </c>
    </row>
    <row r="19" spans="1:31" ht="26.25" customHeight="1" x14ac:dyDescent="0.35">
      <c r="A19" s="10" t="s">
        <v>244</v>
      </c>
      <c r="B19" t="s">
        <v>250</v>
      </c>
      <c r="D19">
        <v>6.25</v>
      </c>
      <c r="E19">
        <v>5.2999999999999999E-2</v>
      </c>
      <c r="F19">
        <v>1.325</v>
      </c>
      <c r="G19">
        <v>23</v>
      </c>
    </row>
    <row r="20" spans="1:31" ht="26.25" customHeight="1" x14ac:dyDescent="0.35">
      <c r="A20" s="10" t="s">
        <v>244</v>
      </c>
      <c r="B20" t="s">
        <v>251</v>
      </c>
      <c r="D20">
        <v>3.72</v>
      </c>
      <c r="E20">
        <v>2.3E-2</v>
      </c>
      <c r="F20">
        <v>1.046</v>
      </c>
      <c r="G20">
        <v>21</v>
      </c>
    </row>
    <row r="21" spans="1:31" ht="26.25" customHeight="1" x14ac:dyDescent="0.4">
      <c r="A21" s="10" t="s">
        <v>244</v>
      </c>
      <c r="B21" t="s">
        <v>252</v>
      </c>
      <c r="D21">
        <v>4.7699999999999996</v>
      </c>
      <c r="E21">
        <v>8.6999999999999994E-2</v>
      </c>
      <c r="F21">
        <v>1.0489999999999999</v>
      </c>
      <c r="G21">
        <v>10</v>
      </c>
      <c r="I21" s="70" t="s">
        <v>253</v>
      </c>
      <c r="J21" s="46" t="s">
        <v>207</v>
      </c>
      <c r="K21" s="46" t="s">
        <v>208</v>
      </c>
      <c r="L21" s="46" t="s">
        <v>209</v>
      </c>
      <c r="M21" s="46" t="s">
        <v>210</v>
      </c>
      <c r="N21" s="46" t="s">
        <v>211</v>
      </c>
      <c r="O21" s="46" t="s">
        <v>212</v>
      </c>
      <c r="P21" s="46" t="s">
        <v>213</v>
      </c>
    </row>
    <row r="22" spans="1:31" ht="39.4" customHeight="1" x14ac:dyDescent="0.35">
      <c r="A22" s="10" t="s">
        <v>254</v>
      </c>
      <c r="B22" t="s">
        <v>173</v>
      </c>
      <c r="C22">
        <v>81</v>
      </c>
      <c r="D22">
        <v>16.489999999999998</v>
      </c>
      <c r="E22">
        <v>0.13600000000000001</v>
      </c>
      <c r="F22">
        <v>1.5009999999999999</v>
      </c>
      <c r="G22">
        <v>30</v>
      </c>
      <c r="J22" s="47" t="s">
        <v>254</v>
      </c>
      <c r="K22" s="39" t="s">
        <v>173</v>
      </c>
      <c r="L22" s="39">
        <v>81</v>
      </c>
      <c r="M22" s="39">
        <v>16.489999999999998</v>
      </c>
      <c r="N22" s="39">
        <v>0.13600000000000001</v>
      </c>
      <c r="O22" s="39">
        <v>1.5009999999999999</v>
      </c>
      <c r="P22" s="39">
        <v>30</v>
      </c>
      <c r="S22" s="60"/>
      <c r="T22" s="60"/>
      <c r="U22" s="60"/>
      <c r="V22" s="60"/>
      <c r="W22" s="60"/>
      <c r="X22" s="60"/>
      <c r="Y22" s="60"/>
      <c r="Z22" s="60"/>
      <c r="AA22" s="60"/>
      <c r="AB22" s="60"/>
      <c r="AC22" s="60"/>
      <c r="AD22" s="60"/>
      <c r="AE22" s="60"/>
    </row>
    <row r="23" spans="1:31" ht="39.4" customHeight="1" x14ac:dyDescent="0.35">
      <c r="A23" s="10" t="s">
        <v>254</v>
      </c>
      <c r="B23" t="s">
        <v>255</v>
      </c>
      <c r="C23">
        <v>7</v>
      </c>
      <c r="D23">
        <v>19.600000000000001</v>
      </c>
      <c r="E23">
        <v>0.13600000000000001</v>
      </c>
      <c r="F23">
        <v>1.5009999999999999</v>
      </c>
      <c r="G23">
        <v>32</v>
      </c>
      <c r="J23" s="48" t="s">
        <v>254</v>
      </c>
      <c r="K23" s="38">
        <v>7</v>
      </c>
      <c r="L23" s="38">
        <v>7</v>
      </c>
      <c r="M23" s="38">
        <v>19.600000000000001</v>
      </c>
      <c r="N23" s="38">
        <v>0.13600000000000001</v>
      </c>
      <c r="O23" s="38">
        <v>1.5009999999999999</v>
      </c>
      <c r="P23" s="38">
        <v>32</v>
      </c>
      <c r="S23" s="10"/>
      <c r="Z23" s="10"/>
    </row>
    <row r="24" spans="1:31" ht="26.25" customHeight="1" x14ac:dyDescent="0.35">
      <c r="A24" s="10" t="s">
        <v>254</v>
      </c>
      <c r="B24" t="s">
        <v>256</v>
      </c>
      <c r="D24">
        <v>9.4</v>
      </c>
      <c r="E24">
        <v>0.13600000000000001</v>
      </c>
      <c r="F24">
        <v>1.5009999999999999</v>
      </c>
      <c r="G24">
        <v>31</v>
      </c>
      <c r="J24" s="48" t="s">
        <v>254</v>
      </c>
      <c r="K24" s="38">
        <v>10</v>
      </c>
      <c r="L24" s="38">
        <v>21</v>
      </c>
      <c r="M24" s="38">
        <v>20.54</v>
      </c>
      <c r="N24" s="38">
        <v>0.13600000000000001</v>
      </c>
      <c r="O24" s="38">
        <v>1.5009999999999999</v>
      </c>
      <c r="P24" s="38">
        <v>34</v>
      </c>
      <c r="S24" s="10"/>
      <c r="Z24" s="10"/>
    </row>
    <row r="25" spans="1:31" ht="26.25" customHeight="1" x14ac:dyDescent="0.35">
      <c r="A25" s="10" t="s">
        <v>254</v>
      </c>
      <c r="B25" t="s">
        <v>257</v>
      </c>
      <c r="C25">
        <v>21</v>
      </c>
      <c r="D25">
        <v>20.54</v>
      </c>
      <c r="E25">
        <v>0.13600000000000001</v>
      </c>
      <c r="F25">
        <v>1.5009999999999999</v>
      </c>
      <c r="G25">
        <v>34</v>
      </c>
      <c r="J25" s="48" t="s">
        <v>254</v>
      </c>
      <c r="K25" s="38">
        <v>18</v>
      </c>
      <c r="L25" s="38">
        <v>26</v>
      </c>
      <c r="M25" s="38">
        <v>17.41</v>
      </c>
      <c r="N25" s="38">
        <v>0.13600000000000001</v>
      </c>
      <c r="O25" s="38">
        <v>1.5009999999999999</v>
      </c>
      <c r="P25" s="38">
        <v>38</v>
      </c>
      <c r="S25" s="10"/>
      <c r="Z25" s="10"/>
    </row>
    <row r="26" spans="1:31" ht="39.4" customHeight="1" x14ac:dyDescent="0.35">
      <c r="A26" s="10" t="s">
        <v>254</v>
      </c>
      <c r="B26" t="s">
        <v>258</v>
      </c>
      <c r="D26">
        <v>12.27</v>
      </c>
      <c r="E26">
        <v>0.13600000000000001</v>
      </c>
      <c r="F26">
        <v>1.5009999999999999</v>
      </c>
      <c r="G26">
        <v>33</v>
      </c>
      <c r="J26" s="49" t="s">
        <v>254</v>
      </c>
      <c r="K26" s="50">
        <v>24</v>
      </c>
      <c r="L26" s="50">
        <v>26</v>
      </c>
      <c r="M26" s="50">
        <v>14.04</v>
      </c>
      <c r="N26" s="50">
        <v>0.13600000000000001</v>
      </c>
      <c r="O26" s="50">
        <v>1.5009999999999999</v>
      </c>
      <c r="P26" s="50">
        <v>35</v>
      </c>
    </row>
    <row r="27" spans="1:31" ht="39.4" customHeight="1" x14ac:dyDescent="0.35">
      <c r="A27" s="10" t="s">
        <v>254</v>
      </c>
      <c r="B27" t="s">
        <v>259</v>
      </c>
      <c r="C27">
        <v>26</v>
      </c>
      <c r="D27">
        <v>17.41</v>
      </c>
      <c r="E27">
        <v>0.13600000000000001</v>
      </c>
      <c r="F27">
        <v>1.5009999999999999</v>
      </c>
      <c r="G27">
        <v>38</v>
      </c>
      <c r="S27" s="60"/>
      <c r="T27" s="60"/>
      <c r="U27" s="60"/>
      <c r="V27" s="60"/>
      <c r="W27" s="60"/>
      <c r="X27" s="60"/>
      <c r="Y27" s="60"/>
      <c r="Z27" s="60"/>
      <c r="AA27" s="60"/>
      <c r="AB27" s="60"/>
      <c r="AC27" s="60"/>
      <c r="AD27" s="60"/>
      <c r="AE27" s="60"/>
    </row>
    <row r="28" spans="1:31" ht="39.4" customHeight="1" x14ac:dyDescent="0.4">
      <c r="A28" s="10" t="s">
        <v>254</v>
      </c>
      <c r="B28" t="s">
        <v>260</v>
      </c>
      <c r="D28">
        <v>14.17</v>
      </c>
      <c r="E28">
        <v>0.13600000000000001</v>
      </c>
      <c r="F28">
        <v>1.5009999999999999</v>
      </c>
      <c r="G28">
        <v>40</v>
      </c>
      <c r="I28" s="70" t="s">
        <v>261</v>
      </c>
      <c r="J28" s="46" t="s">
        <v>207</v>
      </c>
      <c r="K28" s="46" t="s">
        <v>208</v>
      </c>
      <c r="L28" s="46" t="s">
        <v>209</v>
      </c>
      <c r="M28" s="46" t="s">
        <v>210</v>
      </c>
      <c r="N28" s="46" t="s">
        <v>211</v>
      </c>
      <c r="O28" s="46" t="s">
        <v>212</v>
      </c>
      <c r="P28" s="46" t="s">
        <v>213</v>
      </c>
      <c r="S28" s="10"/>
      <c r="Z28" s="10"/>
    </row>
    <row r="29" spans="1:31" ht="39.4" customHeight="1" x14ac:dyDescent="0.35">
      <c r="A29" s="10" t="s">
        <v>254</v>
      </c>
      <c r="B29">
        <v>24</v>
      </c>
      <c r="C29">
        <v>26</v>
      </c>
      <c r="D29">
        <v>14.04</v>
      </c>
      <c r="E29">
        <v>0.13600000000000001</v>
      </c>
      <c r="F29">
        <v>1.5009999999999999</v>
      </c>
      <c r="G29">
        <v>35</v>
      </c>
      <c r="J29" s="48" t="s">
        <v>254</v>
      </c>
      <c r="K29" s="38">
        <v>7</v>
      </c>
      <c r="L29" s="38"/>
      <c r="M29" s="38">
        <v>9.4</v>
      </c>
      <c r="N29" s="38">
        <v>0.13600000000000001</v>
      </c>
      <c r="O29" s="38">
        <v>1.5009999999999999</v>
      </c>
      <c r="P29" s="38">
        <v>31</v>
      </c>
      <c r="S29" s="10"/>
      <c r="Z29" s="10"/>
    </row>
    <row r="30" spans="1:31" x14ac:dyDescent="0.35">
      <c r="B30" s="5"/>
      <c r="J30" s="49" t="s">
        <v>254</v>
      </c>
      <c r="K30" s="50">
        <v>10</v>
      </c>
      <c r="L30" s="50"/>
      <c r="M30" s="50">
        <v>12.27</v>
      </c>
      <c r="N30" s="50">
        <v>0.13600000000000001</v>
      </c>
      <c r="O30" s="50">
        <v>1.5009999999999999</v>
      </c>
      <c r="P30" s="50">
        <v>33</v>
      </c>
      <c r="S30" s="10"/>
      <c r="Z30" s="10"/>
    </row>
    <row r="31" spans="1:31" ht="26.25" customHeight="1" x14ac:dyDescent="0.4">
      <c r="A31" s="46" t="s">
        <v>207</v>
      </c>
      <c r="B31" s="46" t="s">
        <v>208</v>
      </c>
      <c r="C31" s="46" t="s">
        <v>209</v>
      </c>
      <c r="D31" s="46" t="s">
        <v>210</v>
      </c>
      <c r="E31" s="46" t="s">
        <v>211</v>
      </c>
      <c r="F31" s="46" t="s">
        <v>212</v>
      </c>
      <c r="G31" s="46" t="s">
        <v>213</v>
      </c>
      <c r="J31" s="48" t="s">
        <v>254</v>
      </c>
      <c r="K31" s="38">
        <v>18</v>
      </c>
      <c r="L31" s="38"/>
      <c r="M31" s="38">
        <v>14.17</v>
      </c>
      <c r="N31" s="38">
        <v>0.13600000000000001</v>
      </c>
      <c r="O31" s="38">
        <v>1.5009999999999999</v>
      </c>
      <c r="P31" s="38">
        <v>40</v>
      </c>
    </row>
    <row r="32" spans="1:31" ht="26.25" customHeight="1" x14ac:dyDescent="0.35">
      <c r="A32" s="53" t="s">
        <v>254</v>
      </c>
      <c r="B32" s="52" t="s">
        <v>262</v>
      </c>
      <c r="C32" s="52"/>
      <c r="D32" s="52">
        <v>5.59</v>
      </c>
      <c r="E32" s="52">
        <v>0.13600000000000001</v>
      </c>
      <c r="F32" s="52">
        <v>0.501</v>
      </c>
      <c r="G32" s="52">
        <v>60</v>
      </c>
      <c r="J32" s="48" t="s">
        <v>254</v>
      </c>
      <c r="K32" s="38" t="s">
        <v>173</v>
      </c>
      <c r="L32" s="38">
        <v>81</v>
      </c>
      <c r="M32" s="38">
        <v>16.489999999999998</v>
      </c>
      <c r="N32" s="38">
        <v>0.13600000000000001</v>
      </c>
      <c r="O32" s="38">
        <v>1.5009999999999999</v>
      </c>
      <c r="P32" s="38">
        <v>30</v>
      </c>
    </row>
    <row r="33" spans="2:13" ht="26.25" customHeight="1" x14ac:dyDescent="0.35">
      <c r="B33" s="6"/>
    </row>
    <row r="34" spans="2:13" ht="39.4" customHeight="1" x14ac:dyDescent="0.35">
      <c r="B34" s="5"/>
    </row>
    <row r="35" spans="2:13" ht="26.25" customHeight="1" x14ac:dyDescent="0.35">
      <c r="B35" s="6"/>
    </row>
    <row r="36" spans="2:13" ht="39.75" customHeight="1" x14ac:dyDescent="0.35">
      <c r="B36" s="5"/>
      <c r="J36" s="28" t="s">
        <v>263</v>
      </c>
      <c r="K36" s="28" t="s">
        <v>264</v>
      </c>
      <c r="L36" s="28" t="s">
        <v>265</v>
      </c>
      <c r="M36" s="28" t="s">
        <v>266</v>
      </c>
    </row>
    <row r="37" spans="2:13" x14ac:dyDescent="0.35">
      <c r="B37" s="5"/>
      <c r="J37" s="32" t="s">
        <v>235</v>
      </c>
      <c r="K37" s="2">
        <v>7</v>
      </c>
      <c r="L37" s="2" t="str">
        <f>CONCATENATE(Tariff_table[[#This Row],[Water heating System]]," ",Tariff_table[[#This Row],[Tariff]])</f>
        <v>Electric heat pump with off peak immersion from PCDB  7</v>
      </c>
      <c r="M37" s="2">
        <v>0.7</v>
      </c>
    </row>
    <row r="38" spans="2:13" ht="39.4" customHeight="1" x14ac:dyDescent="0.35">
      <c r="B38" s="5"/>
      <c r="J38" s="32" t="s">
        <v>235</v>
      </c>
      <c r="K38" s="2">
        <v>10</v>
      </c>
      <c r="L38" s="2" t="str">
        <f>CONCATENATE(Tariff_table[[#This Row],[Water heating System]]," ",Tariff_table[[#This Row],[Tariff]])</f>
        <v>Electric heat pump with off peak immersion from PCDB  10</v>
      </c>
      <c r="M38" s="58">
        <v>0.7</v>
      </c>
    </row>
    <row r="39" spans="2:13" ht="39.4" customHeight="1" x14ac:dyDescent="0.35">
      <c r="B39" s="5"/>
      <c r="J39" s="2" t="s">
        <v>230</v>
      </c>
      <c r="K39" s="2">
        <v>7</v>
      </c>
      <c r="L39" s="2" t="str">
        <f>CONCATENATE(Tariff_table[[#This Row],[Water heating System]]," ",Tariff_table[[#This Row],[Tariff]])</f>
        <v>Dual Electric immersion 7</v>
      </c>
      <c r="M39" s="58" t="e" cm="1">
        <f t="array" ref="M39">MAX((((6.8 - 0.024*tank_size)*occupants +14 - (0.07*tank_size))/100),0)</f>
        <v>#VALUE!</v>
      </c>
    </row>
    <row r="40" spans="2:13" ht="39.4" customHeight="1" x14ac:dyDescent="0.35">
      <c r="B40" s="6"/>
      <c r="J40" s="2" t="s">
        <v>267</v>
      </c>
      <c r="K40" s="2">
        <v>7</v>
      </c>
      <c r="L40" s="2" t="str">
        <f>CONCATENATE(Tariff_table[[#This Row],[Water heating System]]," ",Tariff_table[[#This Row],[Tariff]])</f>
        <v>Single Electric Immersion 7</v>
      </c>
      <c r="M40" s="131" t="e" cm="1">
        <f t="array" ref="M40">MAX(((14530-occupants*762)/tank_size-80+10*occupants)/100,0)</f>
        <v>#VALUE!</v>
      </c>
    </row>
    <row r="41" spans="2:13" ht="39.4" customHeight="1" x14ac:dyDescent="0.35">
      <c r="B41" s="5"/>
      <c r="J41" s="2" t="s">
        <v>230</v>
      </c>
      <c r="K41" s="2">
        <v>10</v>
      </c>
      <c r="L41" s="2" t="str">
        <f>CONCATENATE(Tariff_table[[#This Row],[Water heating System]]," ",Tariff_table[[#This Row],[Tariff]])</f>
        <v>Dual Electric immersion 10</v>
      </c>
      <c r="M41" s="131" t="e">
        <f>MAX(((6.8 - 0.036*tank_size)*_xlfn.SINGLE(occupants) + 14 - 0.105*tank_size)/100,0)</f>
        <v>#VALUE!</v>
      </c>
    </row>
    <row r="42" spans="2:13" ht="78.75" customHeight="1" x14ac:dyDescent="0.35">
      <c r="B42" s="6"/>
      <c r="J42" s="2" t="s">
        <v>267</v>
      </c>
      <c r="K42" s="2">
        <v>10</v>
      </c>
      <c r="L42" s="2" t="str">
        <f>CONCATENATE(Tariff_table[[#This Row],[Water heating System]]," ",Tariff_table[[#This Row],[Tariff]])</f>
        <v>Single Electric Immersion 10</v>
      </c>
      <c r="M42" s="132" t="e">
        <f>MAX(((14530-762*_xlfn.SINGLE(occupants))/(1.5*tank_size)-80+10*_xlfn.SINGLE(occupants))/100,0)</f>
        <v>#VALUE!</v>
      </c>
    </row>
    <row r="43" spans="2:13" ht="39.4" customHeight="1" x14ac:dyDescent="0.35">
      <c r="B43" s="6"/>
      <c r="J43" s="2" t="s">
        <v>268</v>
      </c>
      <c r="K43" s="2">
        <v>7</v>
      </c>
      <c r="L43" s="2" t="str">
        <f>CONCATENATE(Tariff_table[[#This Row],[Water heating System]]," ",Tariff_table[[#This Row],[Tariff]])</f>
        <v>Electric Heat pump serving DHW only 7</v>
      </c>
      <c r="M43" s="132" t="e">
        <f>MAX((((6.8 - 0.024*tank_size)*_xlfn.SINGLE(occupants) + 14 - 0.07*tank_size)/100),0)</f>
        <v>#VALUE!</v>
      </c>
    </row>
    <row r="44" spans="2:13" ht="41.25" customHeight="1" x14ac:dyDescent="0.35">
      <c r="B44" s="6"/>
      <c r="J44" s="2" t="s">
        <v>268</v>
      </c>
      <c r="K44" s="2">
        <v>10</v>
      </c>
      <c r="L44" s="2" t="str">
        <f>CONCATENATE(Tariff_table[[#This Row],[Water heating System]]," ",Tariff_table[[#This Row],[Tariff]])</f>
        <v>Electric Heat pump serving DHW only 10</v>
      </c>
      <c r="M44" s="131" t="e">
        <f>MAX(((6.8 - 0.036*tank_size)*_xlfn.SINGLE(occupants) + 14 - 0.105*tank_size)/100,0)</f>
        <v>#VALUE!</v>
      </c>
    </row>
    <row r="45" spans="2:13" x14ac:dyDescent="0.35">
      <c r="B45" s="5"/>
      <c r="J45" s="32" t="s">
        <v>239</v>
      </c>
      <c r="K45" s="2">
        <v>7</v>
      </c>
      <c r="L45" s="2" t="str">
        <f>CONCATENATE(Tariff_table[[#This Row],[Water heating System]]," ",Tariff_table[[#This Row],[Tariff]])</f>
        <v>Electric heat pump with off peak immersion not from PCDB  7</v>
      </c>
      <c r="M45" s="76">
        <v>0.17</v>
      </c>
    </row>
    <row r="46" spans="2:13" x14ac:dyDescent="0.35">
      <c r="B46" s="6"/>
      <c r="J46" s="32" t="s">
        <v>239</v>
      </c>
      <c r="K46" s="2">
        <v>10</v>
      </c>
      <c r="L46" s="2" t="str">
        <f>CONCATENATE(Tariff_table[[#This Row],[Water heating System]]," ",Tariff_table[[#This Row],[Tariff]])</f>
        <v>Electric heat pump with off peak immersion not from PCDB  10</v>
      </c>
      <c r="M46" s="76">
        <v>0.17</v>
      </c>
    </row>
    <row r="47" spans="2:13" x14ac:dyDescent="0.35">
      <c r="B47" s="6"/>
      <c r="J47" s="2"/>
      <c r="K47" s="2"/>
      <c r="L47" s="2"/>
      <c r="M47" s="2"/>
    </row>
    <row r="48" spans="2:13" x14ac:dyDescent="0.35">
      <c r="B48" s="5"/>
      <c r="J48" s="42" t="s">
        <v>269</v>
      </c>
      <c r="K48" s="42" t="s">
        <v>264</v>
      </c>
      <c r="L48" s="42" t="s">
        <v>265</v>
      </c>
      <c r="M48" s="42" t="s">
        <v>266</v>
      </c>
    </row>
    <row r="49" spans="2:13" x14ac:dyDescent="0.35">
      <c r="B49" s="5"/>
      <c r="J49" s="2" t="s">
        <v>223</v>
      </c>
      <c r="K49" s="2">
        <v>7</v>
      </c>
      <c r="L49" s="2" t="str">
        <f>CONCATENATE(High_rate_space[[#This Row],[Space heating System]]," ",High_rate_space[[#This Row],[Tariff]])</f>
        <v>Direct-acting electric boiler 7</v>
      </c>
      <c r="M49" s="2">
        <v>0.9</v>
      </c>
    </row>
    <row r="50" spans="2:13" ht="39.4" customHeight="1" x14ac:dyDescent="0.35">
      <c r="B50" s="5"/>
      <c r="J50" s="2" t="s">
        <v>223</v>
      </c>
      <c r="K50" s="2">
        <v>10</v>
      </c>
      <c r="L50" s="2" t="str">
        <f>CONCATENATE(High_rate_space[[#This Row],[Space heating System]]," ",High_rate_space[[#This Row],[Tariff]])</f>
        <v>Direct-acting electric boiler 10</v>
      </c>
      <c r="M50" s="2">
        <v>0.5</v>
      </c>
    </row>
    <row r="51" spans="2:13" x14ac:dyDescent="0.35">
      <c r="B51" s="5"/>
      <c r="J51" s="2" t="s">
        <v>270</v>
      </c>
      <c r="K51" s="2">
        <v>7</v>
      </c>
      <c r="L51" s="2" t="str">
        <f>CONCATENATE(High_rate_space[[#This Row],[Space heating System]]," ",High_rate_space[[#This Row],[Tariff]])</f>
        <v>Electric Underfloor heating 7</v>
      </c>
      <c r="M51" s="2">
        <v>0.9</v>
      </c>
    </row>
    <row r="52" spans="2:13" x14ac:dyDescent="0.35">
      <c r="B52" s="5"/>
      <c r="J52" s="2" t="s">
        <v>270</v>
      </c>
      <c r="K52" s="2">
        <v>10</v>
      </c>
      <c r="L52" s="2" t="str">
        <f>CONCATENATE(High_rate_space[[#This Row],[Space heating System]]," ",High_rate_space[[#This Row],[Tariff]])</f>
        <v>Electric Underfloor heating 10</v>
      </c>
      <c r="M52" s="40">
        <v>0.5</v>
      </c>
    </row>
    <row r="53" spans="2:13" x14ac:dyDescent="0.35">
      <c r="B53" s="5"/>
      <c r="J53" s="2" t="s">
        <v>271</v>
      </c>
      <c r="K53" s="2">
        <v>7</v>
      </c>
      <c r="L53" s="2" t="str">
        <f>CONCATENATE(High_rate_space[[#This Row],[Space heating System]]," ",High_rate_space[[#This Row],[Tariff]])</f>
        <v>Electric Ground/water source heat pump 7</v>
      </c>
      <c r="M53" s="40">
        <v>0.7</v>
      </c>
    </row>
    <row r="54" spans="2:13" x14ac:dyDescent="0.35">
      <c r="B54" s="5"/>
      <c r="J54" s="2" t="s">
        <v>271</v>
      </c>
      <c r="K54" s="2">
        <v>10</v>
      </c>
      <c r="L54" s="2" t="str">
        <f>CONCATENATE(High_rate_space[[#This Row],[Space heating System]]," ",High_rate_space[[#This Row],[Tariff]])</f>
        <v>Electric Ground/water source heat pump 10</v>
      </c>
      <c r="M54" s="2">
        <v>0.6</v>
      </c>
    </row>
    <row r="55" spans="2:13" x14ac:dyDescent="0.35">
      <c r="B55" s="5"/>
      <c r="J55" s="2" t="s">
        <v>272</v>
      </c>
      <c r="K55" s="2">
        <v>7</v>
      </c>
      <c r="L55" s="2" t="str">
        <f>CONCATENATE(High_rate_space[[#This Row],[Space heating System]]," ",High_rate_space[[#This Row],[Tariff]])</f>
        <v>Electric Air source heat pump 7</v>
      </c>
      <c r="M55" s="2">
        <v>0.9</v>
      </c>
    </row>
    <row r="56" spans="2:13" ht="27.4" customHeight="1" x14ac:dyDescent="0.35">
      <c r="B56" s="6"/>
      <c r="J56" s="2" t="s">
        <v>272</v>
      </c>
      <c r="K56" s="2">
        <v>10</v>
      </c>
      <c r="L56" s="2" t="str">
        <f>CONCATENATE(High_rate_space[[#This Row],[Space heating System]]," ",High_rate_space[[#This Row],[Tariff]])</f>
        <v>Electric Air source heat pump 10</v>
      </c>
      <c r="M56" s="40">
        <v>0.6</v>
      </c>
    </row>
    <row r="57" spans="2:13" x14ac:dyDescent="0.35">
      <c r="B57" s="5"/>
      <c r="J57" s="2"/>
      <c r="K57" s="2"/>
      <c r="L57" s="2"/>
      <c r="M57" s="2"/>
    </row>
    <row r="58" spans="2:13" x14ac:dyDescent="0.35">
      <c r="B58" s="5"/>
      <c r="J58" s="46" t="s">
        <v>273</v>
      </c>
      <c r="K58" s="46" t="s">
        <v>264</v>
      </c>
      <c r="L58" s="46" t="s">
        <v>265</v>
      </c>
      <c r="M58" s="72" t="s">
        <v>266</v>
      </c>
    </row>
    <row r="59" spans="2:13" x14ac:dyDescent="0.35">
      <c r="B59" s="5"/>
      <c r="J59" s="43" t="s">
        <v>274</v>
      </c>
      <c r="K59" s="32">
        <v>7</v>
      </c>
      <c r="L59" s="43" t="str">
        <f>_xlfn.CONCAT(secondary_heating[[#This Row],[Secondary]]," ",secondary_heating[[#This Row],[Tariff]])</f>
        <v>Electric  7</v>
      </c>
      <c r="M59" s="43">
        <v>1</v>
      </c>
    </row>
    <row r="60" spans="2:13" x14ac:dyDescent="0.35">
      <c r="B60" s="6"/>
      <c r="J60" s="45" t="s">
        <v>275</v>
      </c>
      <c r="K60" s="44">
        <v>10</v>
      </c>
      <c r="L60" s="44" t="str">
        <f>_xlfn.CONCAT(secondary_heating[[#This Row],[Secondary]]," ",secondary_heating[[#This Row],[Tariff]])</f>
        <v>Electric 10</v>
      </c>
      <c r="M60" s="44">
        <v>0.5</v>
      </c>
    </row>
    <row r="61" spans="2:13" x14ac:dyDescent="0.35">
      <c r="B61" s="5"/>
    </row>
    <row r="62" spans="2:13" x14ac:dyDescent="0.35">
      <c r="B62" s="8"/>
    </row>
    <row r="63" spans="2:13" x14ac:dyDescent="0.35">
      <c r="B63" s="5"/>
    </row>
    <row r="64" spans="2:13" x14ac:dyDescent="0.35">
      <c r="B64" s="5"/>
    </row>
    <row r="65" spans="2:15" x14ac:dyDescent="0.35">
      <c r="B65" s="8"/>
    </row>
    <row r="66" spans="2:15" x14ac:dyDescent="0.35">
      <c r="B66" s="6"/>
    </row>
    <row r="67" spans="2:15" x14ac:dyDescent="0.35">
      <c r="B67" s="8"/>
      <c r="J67" s="2"/>
      <c r="K67" s="31">
        <v>120</v>
      </c>
      <c r="L67" s="31">
        <v>150</v>
      </c>
      <c r="M67" s="31">
        <v>180</v>
      </c>
      <c r="N67" s="31">
        <v>210</v>
      </c>
      <c r="O67" s="31">
        <v>300</v>
      </c>
    </row>
    <row r="68" spans="2:15" x14ac:dyDescent="0.35">
      <c r="B68" s="8"/>
      <c r="J68" s="46" t="s">
        <v>13</v>
      </c>
      <c r="K68" s="46" t="s">
        <v>276</v>
      </c>
      <c r="L68" s="46" t="s">
        <v>277</v>
      </c>
      <c r="M68" s="72" t="s">
        <v>278</v>
      </c>
      <c r="N68" s="46" t="s">
        <v>279</v>
      </c>
      <c r="O68" s="46" t="s">
        <v>280</v>
      </c>
    </row>
    <row r="69" spans="2:15" x14ac:dyDescent="0.35">
      <c r="B69" s="8"/>
      <c r="J69" s="43" t="s">
        <v>281</v>
      </c>
      <c r="K69" s="32">
        <v>0.7</v>
      </c>
      <c r="L69" s="43">
        <v>0.69</v>
      </c>
      <c r="M69" s="43">
        <v>0.68</v>
      </c>
      <c r="N69" s="43">
        <v>0.67</v>
      </c>
      <c r="O69" s="32">
        <v>0.66</v>
      </c>
    </row>
    <row r="70" spans="2:15" x14ac:dyDescent="0.35">
      <c r="B70" s="8"/>
      <c r="J70" s="45" t="s">
        <v>282</v>
      </c>
      <c r="K70" s="44">
        <v>0.9</v>
      </c>
      <c r="L70" s="44">
        <v>0.9</v>
      </c>
      <c r="M70" s="44">
        <v>0.9</v>
      </c>
      <c r="N70" s="45">
        <v>0.9</v>
      </c>
      <c r="O70" s="44">
        <v>0.9</v>
      </c>
    </row>
    <row r="71" spans="2:15" x14ac:dyDescent="0.35">
      <c r="B71" s="5"/>
      <c r="J71" s="43" t="s">
        <v>283</v>
      </c>
      <c r="K71" s="32">
        <v>5</v>
      </c>
      <c r="L71" s="43">
        <v>5</v>
      </c>
      <c r="M71" s="43">
        <v>5</v>
      </c>
      <c r="N71" s="43">
        <v>5</v>
      </c>
      <c r="O71" s="32">
        <v>5</v>
      </c>
    </row>
    <row r="72" spans="2:15" x14ac:dyDescent="0.35">
      <c r="B72" s="9"/>
      <c r="J72" s="45" t="s">
        <v>284</v>
      </c>
      <c r="K72" s="44">
        <v>1</v>
      </c>
      <c r="L72" s="44">
        <v>0.85</v>
      </c>
      <c r="M72" s="44">
        <v>0.7</v>
      </c>
      <c r="N72" s="45">
        <v>0.55000000000000004</v>
      </c>
      <c r="O72" s="44">
        <v>0.4</v>
      </c>
    </row>
    <row r="73" spans="2:15" x14ac:dyDescent="0.35">
      <c r="B73" s="9"/>
      <c r="J73" s="43" t="s">
        <v>285</v>
      </c>
      <c r="K73" s="32">
        <v>0.6</v>
      </c>
      <c r="L73" s="43">
        <v>0.6</v>
      </c>
      <c r="M73" s="43">
        <v>0.6</v>
      </c>
      <c r="N73" s="43">
        <v>0.6</v>
      </c>
      <c r="O73" s="32">
        <v>0.6</v>
      </c>
    </row>
    <row r="74" spans="2:15" x14ac:dyDescent="0.35">
      <c r="J74" s="45" t="s">
        <v>286</v>
      </c>
      <c r="K74" s="44">
        <v>0.36</v>
      </c>
      <c r="L74" s="44">
        <v>0.36</v>
      </c>
      <c r="M74" s="44">
        <v>0.36</v>
      </c>
      <c r="N74" s="45">
        <v>0.36</v>
      </c>
      <c r="O74" s="44">
        <v>0.36</v>
      </c>
    </row>
    <row r="75" spans="2:15" x14ac:dyDescent="0.35">
      <c r="J75" s="59"/>
      <c r="K75" s="59"/>
      <c r="L75" s="59"/>
      <c r="M75" s="59"/>
      <c r="N75" s="59"/>
      <c r="O75" s="59"/>
    </row>
    <row r="76" spans="2:15" x14ac:dyDescent="0.35">
      <c r="J76" s="31" t="s">
        <v>173</v>
      </c>
      <c r="K76" s="31" t="s">
        <v>276</v>
      </c>
      <c r="L76" s="31" t="s">
        <v>277</v>
      </c>
      <c r="M76" s="31" t="s">
        <v>278</v>
      </c>
      <c r="N76" s="31" t="s">
        <v>279</v>
      </c>
      <c r="O76" s="31" t="s">
        <v>280</v>
      </c>
    </row>
    <row r="77" spans="2:15" x14ac:dyDescent="0.35">
      <c r="J77" s="43" t="s">
        <v>281</v>
      </c>
      <c r="K77" s="32">
        <v>1</v>
      </c>
      <c r="L77" s="43">
        <v>0.95</v>
      </c>
      <c r="M77" s="43">
        <v>0.9</v>
      </c>
      <c r="N77" s="43">
        <v>0.85</v>
      </c>
      <c r="O77" s="32">
        <v>0.8</v>
      </c>
    </row>
    <row r="78" spans="2:15" x14ac:dyDescent="0.35">
      <c r="J78" s="45" t="s">
        <v>282</v>
      </c>
      <c r="K78" s="44">
        <v>0.4</v>
      </c>
      <c r="L78" s="44">
        <v>0.4</v>
      </c>
      <c r="M78" s="44">
        <v>0.4</v>
      </c>
      <c r="N78" s="45">
        <v>0.4</v>
      </c>
      <c r="O78" s="44">
        <v>0.4</v>
      </c>
    </row>
    <row r="79" spans="2:15" x14ac:dyDescent="0.35">
      <c r="J79" s="43" t="s">
        <v>283</v>
      </c>
      <c r="K79" s="32">
        <v>5</v>
      </c>
      <c r="L79" s="43">
        <v>5</v>
      </c>
      <c r="M79" s="43">
        <v>5</v>
      </c>
      <c r="N79" s="43">
        <v>5</v>
      </c>
      <c r="O79" s="32">
        <v>5</v>
      </c>
    </row>
    <row r="80" spans="2:15" x14ac:dyDescent="0.35">
      <c r="J80" s="45" t="s">
        <v>284</v>
      </c>
      <c r="K80" s="44">
        <v>1</v>
      </c>
      <c r="L80" s="44">
        <v>0.85</v>
      </c>
      <c r="M80" s="44">
        <v>0.7</v>
      </c>
      <c r="N80" s="45">
        <v>0.55000000000000004</v>
      </c>
      <c r="O80" s="44">
        <v>0.4</v>
      </c>
    </row>
    <row r="81" spans="10:15" x14ac:dyDescent="0.35">
      <c r="J81" s="43" t="s">
        <v>285</v>
      </c>
      <c r="K81" s="32">
        <v>0.6</v>
      </c>
      <c r="L81" s="43">
        <v>0.6</v>
      </c>
      <c r="M81" s="43">
        <v>0.6</v>
      </c>
      <c r="N81" s="43">
        <v>0.6</v>
      </c>
      <c r="O81" s="32">
        <v>0.6</v>
      </c>
    </row>
    <row r="82" spans="10:15" x14ac:dyDescent="0.35">
      <c r="J82" s="45" t="s">
        <v>286</v>
      </c>
      <c r="K82" s="44">
        <v>0.27</v>
      </c>
      <c r="L82" s="44">
        <v>0.27</v>
      </c>
      <c r="M82" s="44">
        <v>0.27</v>
      </c>
      <c r="N82" s="45">
        <v>0.27</v>
      </c>
      <c r="O82" s="44">
        <v>0.27</v>
      </c>
    </row>
    <row r="87" spans="10:15" x14ac:dyDescent="0.35">
      <c r="J87" s="2"/>
      <c r="K87" s="2"/>
      <c r="L87" s="2"/>
      <c r="M87" s="3"/>
    </row>
    <row r="88" spans="10:15" x14ac:dyDescent="0.35">
      <c r="J88" s="31"/>
      <c r="K88" s="31" t="s">
        <v>13</v>
      </c>
      <c r="L88" s="31" t="s">
        <v>173</v>
      </c>
      <c r="M88" s="3"/>
    </row>
    <row r="89" spans="10:15" x14ac:dyDescent="0.35">
      <c r="J89" s="32" t="s">
        <v>281</v>
      </c>
      <c r="K89" s="32" t="e" cm="1">
        <f t="array" ref="K89">INDEX(Mix_divert_ratio[],MATCH(J89,Mix_divert_ratio[Mixergy],0),MATCH(tank_size,'SAP Tables'!$K$67:$O$67,1)+1)</f>
        <v>#N/A</v>
      </c>
      <c r="L89" s="43" t="e" cm="1">
        <f t="array" ref="L89">INDEX(Stan_divert_ratio[],MATCH(J89,Mix_divert_ratio[Mixergy],0),MATCH(tank_size,'SAP Tables'!$K$67:$O$67,1)+1)</f>
        <v>#N/A</v>
      </c>
      <c r="M89" s="3"/>
    </row>
    <row r="90" spans="10:15" x14ac:dyDescent="0.35">
      <c r="J90" s="32" t="s">
        <v>282</v>
      </c>
      <c r="K90" s="32" t="e" cm="1">
        <f t="array" ref="K90">INDEX(Mix_divert_ratio[],MATCH(J90,Mix_divert_ratio[Mixergy],0),MATCH(tank_size,'SAP Tables'!$K$67:$O$67,1)+1)</f>
        <v>#N/A</v>
      </c>
      <c r="L90" s="43" t="e" cm="1">
        <f t="array" ref="L90">INDEX(Stan_divert_ratio[],MATCH(J90,Mix_divert_ratio[Mixergy],0),MATCH(tank_size,'SAP Tables'!$K$67:$O$67,1)+1)</f>
        <v>#N/A</v>
      </c>
      <c r="M90" s="3"/>
    </row>
    <row r="91" spans="10:15" x14ac:dyDescent="0.35">
      <c r="J91" s="32" t="s">
        <v>283</v>
      </c>
      <c r="K91" s="32" t="e" cm="1">
        <f t="array" ref="K91">INDEX(Mix_divert_ratio[],MATCH(J91,Mix_divert_ratio[Mixergy],0),MATCH(tank_size,'SAP Tables'!$K$67:$O$67,1)+1)</f>
        <v>#N/A</v>
      </c>
      <c r="L91" s="43" t="e" cm="1">
        <f t="array" ref="L91">INDEX(Stan_divert_ratio[],MATCH(J91,Mix_divert_ratio[Mixergy],0),MATCH(tank_size,'SAP Tables'!$K$67:$O$67,1)+1)</f>
        <v>#N/A</v>
      </c>
      <c r="M91" s="3"/>
    </row>
    <row r="92" spans="10:15" x14ac:dyDescent="0.35">
      <c r="J92" s="32" t="s">
        <v>284</v>
      </c>
      <c r="K92" s="32" t="e" cm="1">
        <f t="array" ref="K92">INDEX(Mix_divert_ratio[],MATCH(J92,Mix_divert_ratio[Mixergy],0),MATCH(tank_size,'SAP Tables'!$K$67:$O$67,1)+1)</f>
        <v>#N/A</v>
      </c>
      <c r="L92" s="43" t="e" cm="1">
        <f t="array" ref="L92">INDEX(Stan_divert_ratio[],MATCH(J92,Mix_divert_ratio[Mixergy],0),MATCH(tank_size,'SAP Tables'!$K$67:$O$67,1)+1)</f>
        <v>#N/A</v>
      </c>
      <c r="M92" s="3"/>
    </row>
    <row r="93" spans="10:15" x14ac:dyDescent="0.35">
      <c r="J93" s="32" t="s">
        <v>285</v>
      </c>
      <c r="K93" s="32" t="e" cm="1">
        <f t="array" ref="K93">INDEX(Mix_divert_ratio[],MATCH(J93,Mix_divert_ratio[Mixergy],0),MATCH(tank_size,'SAP Tables'!$K$67:$O$67,1)+1)</f>
        <v>#N/A</v>
      </c>
      <c r="L93" s="43" t="e" cm="1">
        <f t="array" ref="L93">INDEX(Stan_divert_ratio[],MATCH(J93,Mix_divert_ratio[Mixergy],0),MATCH(tank_size,'SAP Tables'!$K$67:$O$67,1)+1)</f>
        <v>#N/A</v>
      </c>
      <c r="M93" s="3"/>
    </row>
    <row r="94" spans="10:15" x14ac:dyDescent="0.35">
      <c r="J94" s="32" t="s">
        <v>286</v>
      </c>
      <c r="K94" s="32" t="e" cm="1">
        <f t="array" ref="K94">INDEX(Mix_divert_ratio[],MATCH(J94,Mix_divert_ratio[Mixergy],0),MATCH(tank_size,'SAP Tables'!$K$67:$O$67,1)+1)</f>
        <v>#N/A</v>
      </c>
      <c r="L94" s="43" t="e" cm="1">
        <f t="array" ref="L94">INDEX(Stan_divert_ratio[],MATCH(J94,Mix_divert_ratio[Mixergy],0),MATCH(tank_size,'SAP Tables'!$K$67:$O$67,1)+1)</f>
        <v>#N/A</v>
      </c>
      <c r="M94" s="2"/>
    </row>
    <row r="95" spans="10:15" x14ac:dyDescent="0.35">
      <c r="J95" s="2"/>
      <c r="K95" s="2"/>
      <c r="L95" s="2"/>
      <c r="M95" s="2"/>
    </row>
    <row r="96" spans="10:15" x14ac:dyDescent="0.35">
      <c r="J96" s="2"/>
      <c r="K96" s="2"/>
      <c r="L96" s="2"/>
      <c r="M96" s="2"/>
    </row>
    <row r="97" spans="10:22" x14ac:dyDescent="0.35">
      <c r="J97" s="2"/>
      <c r="K97" s="2"/>
      <c r="L97" s="2"/>
      <c r="M97" s="2"/>
    </row>
    <row r="98" spans="10:22" x14ac:dyDescent="0.35">
      <c r="J98" s="2"/>
      <c r="K98" s="2"/>
      <c r="L98" s="2"/>
      <c r="M98" s="3"/>
    </row>
    <row r="99" spans="10:22" x14ac:dyDescent="0.35">
      <c r="J99" s="2"/>
      <c r="K99" s="2"/>
      <c r="L99" s="2"/>
      <c r="M99" s="3"/>
    </row>
    <row r="100" spans="10:22" x14ac:dyDescent="0.35">
      <c r="J100" s="2"/>
      <c r="K100" s="2"/>
      <c r="L100" s="2"/>
      <c r="M100" s="3"/>
    </row>
    <row r="101" spans="10:22" x14ac:dyDescent="0.35">
      <c r="J101" s="2"/>
      <c r="K101" s="2"/>
      <c r="L101" s="2"/>
      <c r="M101" s="3"/>
    </row>
    <row r="102" spans="10:22" x14ac:dyDescent="0.35">
      <c r="J102" s="2"/>
      <c r="K102" s="2"/>
      <c r="L102" s="2"/>
      <c r="M102" s="3"/>
    </row>
    <row r="103" spans="10:22" x14ac:dyDescent="0.35">
      <c r="J103" s="31"/>
      <c r="K103" s="31"/>
      <c r="L103" s="31"/>
      <c r="M103" s="31"/>
    </row>
    <row r="104" spans="10:22" x14ac:dyDescent="0.35">
      <c r="J104" s="32" t="s">
        <v>287</v>
      </c>
      <c r="K104" s="32" t="str">
        <f>_xlfn.CONCAT(main_space_sys1," ",electricity_tariff)</f>
        <v xml:space="preserve"> </v>
      </c>
      <c r="L104" s="43" t="s">
        <v>288</v>
      </c>
      <c r="M104" s="32" t="e">
        <f>(IF(main_space_sys1=Non_electric_system,0,IF(electricity_tariff=standard_tariff,1,INDEX(High_rate_space[],MATCH(K104,High_rate_space[System+tariff],0),4))))</f>
        <v>#N/A</v>
      </c>
    </row>
    <row r="105" spans="10:22" x14ac:dyDescent="0.35">
      <c r="J105" s="32"/>
      <c r="K105" s="32"/>
      <c r="L105" s="32" t="s">
        <v>289</v>
      </c>
      <c r="M105" s="32">
        <f>(IF(OR(main_space_sys2=Non_electric_system,main_space_sys2=0,ISBLANK(main_space_sys2),main_space_sys2=I3),0,INDEX(High_rate_space[],MATCH(K105,High_rate_space[System+tariff],0),4)))</f>
        <v>0</v>
      </c>
    </row>
    <row r="106" spans="10:22" x14ac:dyDescent="0.35">
      <c r="J106" s="32"/>
      <c r="K106" s="32"/>
      <c r="L106" s="43" t="s">
        <v>273</v>
      </c>
      <c r="M106" s="32" t="e">
        <f>(IF(OR(ISBLANK(second_space_elec),second_space_elec=0,ISBLANK(second_space_elec),second_space_elec=I3,secondary_space_heat_yn=Dropdowns!F5,secondary_space_heat_yn=Dropdowns!F6),0,INDEX(secondary_heating[],MATCH(electricity_tariff,secondary_heating[Tariff],0),4)))</f>
        <v>#REF!</v>
      </c>
    </row>
    <row r="107" spans="10:22" x14ac:dyDescent="0.35">
      <c r="J107" s="32" t="s">
        <v>290</v>
      </c>
      <c r="K107" s="32">
        <f>IF(OR(water_heat_sys=gas_sys,water_heat_sys=oil_sys,water_heat_sys=solid_sys),water_heat_fuel,electricity_tariff)</f>
        <v>0</v>
      </c>
      <c r="L107" s="32"/>
      <c r="M107" s="32"/>
    </row>
    <row r="108" spans="10:22" x14ac:dyDescent="0.35">
      <c r="J108" s="32" t="s">
        <v>291</v>
      </c>
      <c r="K108" s="32" t="str">
        <f>_xlfn.CONCAT(water_heat_sys," ",electricity_tariff)</f>
        <v xml:space="preserve"> </v>
      </c>
      <c r="L108" s="43"/>
      <c r="M108" s="32"/>
    </row>
    <row r="109" spans="10:22" x14ac:dyDescent="0.35">
      <c r="J109" s="32" t="s">
        <v>292</v>
      </c>
      <c r="K109" s="32">
        <v>0.9</v>
      </c>
      <c r="L109" s="32"/>
      <c r="M109" s="32"/>
    </row>
    <row r="110" spans="10:22" x14ac:dyDescent="0.35">
      <c r="J110" s="126" t="s">
        <v>293</v>
      </c>
      <c r="K110" s="32">
        <v>0.94</v>
      </c>
    </row>
    <row r="112" spans="10:22" x14ac:dyDescent="0.35">
      <c r="J112" s="31"/>
      <c r="K112" s="31" t="s">
        <v>294</v>
      </c>
      <c r="L112" s="31" t="s">
        <v>295</v>
      </c>
      <c r="M112" s="31" t="s">
        <v>296</v>
      </c>
      <c r="N112" s="31" t="s">
        <v>297</v>
      </c>
      <c r="O112" s="31" t="s">
        <v>298</v>
      </c>
      <c r="P112" s="31" t="s">
        <v>299</v>
      </c>
      <c r="Q112" s="31" t="s">
        <v>300</v>
      </c>
      <c r="R112" s="31" t="s">
        <v>301</v>
      </c>
      <c r="S112" s="31" t="s">
        <v>302</v>
      </c>
      <c r="T112" s="31" t="s">
        <v>303</v>
      </c>
      <c r="U112" s="31" t="s">
        <v>304</v>
      </c>
      <c r="V112" s="31" t="s">
        <v>305</v>
      </c>
    </row>
    <row r="113" spans="10:22" x14ac:dyDescent="0.35">
      <c r="J113" s="32" t="s">
        <v>306</v>
      </c>
      <c r="K113">
        <v>0.13600000000000001</v>
      </c>
      <c r="L113">
        <v>0.13600000000000001</v>
      </c>
      <c r="M113">
        <v>0.13600000000000001</v>
      </c>
      <c r="N113">
        <v>0.13600000000000001</v>
      </c>
      <c r="O113">
        <v>0.13600000000000001</v>
      </c>
      <c r="P113">
        <v>0.13600000000000001</v>
      </c>
      <c r="Q113">
        <v>0.13600000000000001</v>
      </c>
      <c r="R113">
        <v>0.13600000000000001</v>
      </c>
      <c r="S113">
        <v>0.13600000000000001</v>
      </c>
      <c r="T113">
        <v>0.13600000000000001</v>
      </c>
      <c r="U113">
        <v>0.13600000000000001</v>
      </c>
      <c r="V113">
        <v>0.13600000000000001</v>
      </c>
    </row>
    <row r="114" spans="10:22" x14ac:dyDescent="0.35">
      <c r="J114" s="32" t="s">
        <v>307</v>
      </c>
      <c r="K114">
        <v>0.501</v>
      </c>
      <c r="L114">
        <v>0.501</v>
      </c>
      <c r="M114">
        <v>0.501</v>
      </c>
      <c r="N114">
        <v>0.501</v>
      </c>
      <c r="O114">
        <v>0.501</v>
      </c>
      <c r="P114">
        <v>0.501</v>
      </c>
      <c r="Q114">
        <v>0.501</v>
      </c>
      <c r="R114">
        <v>0.501</v>
      </c>
      <c r="S114">
        <v>0.501</v>
      </c>
      <c r="T114">
        <v>0.501</v>
      </c>
      <c r="U114">
        <v>0.501</v>
      </c>
      <c r="V114">
        <v>0.501</v>
      </c>
    </row>
    <row r="117" spans="10:22" x14ac:dyDescent="0.35">
      <c r="K117" s="32">
        <v>0.16300000000000001</v>
      </c>
      <c r="L117" s="43">
        <v>0.16</v>
      </c>
      <c r="M117" s="32">
        <v>0.153</v>
      </c>
      <c r="N117" s="32">
        <v>0.14299999999999999</v>
      </c>
      <c r="O117" s="32">
        <v>0.13200000000000001</v>
      </c>
      <c r="P117" s="43">
        <v>0.12</v>
      </c>
      <c r="Q117" s="32">
        <v>0.111</v>
      </c>
      <c r="R117" s="32">
        <v>0.112</v>
      </c>
      <c r="S117" s="32">
        <v>0.122</v>
      </c>
      <c r="T117" s="43">
        <v>0.13600000000000001</v>
      </c>
      <c r="U117" s="32">
        <v>0.151</v>
      </c>
      <c r="V117" s="32">
        <v>0.16300000000000001</v>
      </c>
    </row>
    <row r="118" spans="10:22" x14ac:dyDescent="0.35">
      <c r="K118">
        <v>0.71499999999999997</v>
      </c>
      <c r="L118" s="2">
        <v>0.69699999999999995</v>
      </c>
      <c r="M118" s="2">
        <v>0.64500000000000002</v>
      </c>
      <c r="N118" s="2">
        <v>0.56699999999999995</v>
      </c>
      <c r="O118" s="2">
        <v>0.47799999999999998</v>
      </c>
      <c r="P118" s="2">
        <v>0.38900000000000001</v>
      </c>
      <c r="Q118" s="2">
        <v>0.33</v>
      </c>
      <c r="R118" s="2">
        <v>0.33600000000000002</v>
      </c>
      <c r="S118" s="2">
        <v>0.40500000000000003</v>
      </c>
      <c r="T118" s="2">
        <v>0.51300000000000001</v>
      </c>
      <c r="U118" s="2">
        <v>0.623</v>
      </c>
      <c r="V118" s="2">
        <v>0.71799999999999997</v>
      </c>
    </row>
    <row r="120" spans="10:22" x14ac:dyDescent="0.35">
      <c r="K120">
        <v>0.13600000000000001</v>
      </c>
      <c r="L120">
        <v>0.13600000000000001</v>
      </c>
      <c r="M120">
        <v>0.13600000000000001</v>
      </c>
      <c r="N120">
        <v>0.13600000000000001</v>
      </c>
      <c r="O120">
        <v>0.13600000000000001</v>
      </c>
      <c r="P120">
        <v>0.13600000000000001</v>
      </c>
      <c r="Q120">
        <v>0.13600000000000001</v>
      </c>
      <c r="R120">
        <v>0.13600000000000001</v>
      </c>
      <c r="S120">
        <v>0.13600000000000001</v>
      </c>
      <c r="T120">
        <v>0.13600000000000001</v>
      </c>
      <c r="U120">
        <v>0.13600000000000001</v>
      </c>
      <c r="V120">
        <v>0.13600000000000001</v>
      </c>
    </row>
    <row r="121" spans="10:22" x14ac:dyDescent="0.35">
      <c r="K121">
        <v>0.501</v>
      </c>
      <c r="L121">
        <v>0.501</v>
      </c>
      <c r="M121">
        <v>0.501</v>
      </c>
      <c r="N121">
        <v>0.501</v>
      </c>
      <c r="O121">
        <v>0.501</v>
      </c>
      <c r="P121">
        <v>0.501</v>
      </c>
      <c r="Q121">
        <v>0.501</v>
      </c>
      <c r="R121">
        <v>0.501</v>
      </c>
      <c r="S121">
        <v>0.501</v>
      </c>
      <c r="T121">
        <v>0.501</v>
      </c>
      <c r="U121">
        <v>0.501</v>
      </c>
      <c r="V121">
        <v>0.501</v>
      </c>
    </row>
  </sheetData>
  <sheetProtection algorithmName="SHA-512" hashValue="yLa54NWIhBDUTvXMMLxtvCjAbWLMsy24FikVQfc1eNlNCyPgf7YOlynmBa+L/ZbpAlHwWZs09kLbDcSPffXA5g==" saltValue="sQMjuxGJhUswK8ju9Ps+rg==" spinCount="100000" sheet="1" objects="1" scenarios="1"/>
  <phoneticPr fontId="6" type="noConversion"/>
  <pageMargins left="0.7" right="0.7" top="0.75" bottom="0.75" header="0.3" footer="0.3"/>
  <pageSetup paperSize="9" orientation="portrait" r:id="rId1"/>
  <drawing r:id="rId2"/>
  <tableParts count="9">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6241D-2A03-45A1-9559-E104854B61D0}">
  <sheetPr codeName="Sheet8">
    <tabColor theme="6"/>
  </sheetPr>
  <dimension ref="B3:I25"/>
  <sheetViews>
    <sheetView showGridLines="0" zoomScaleNormal="100" workbookViewId="0">
      <selection activeCell="F5" sqref="F5"/>
    </sheetView>
  </sheetViews>
  <sheetFormatPr defaultRowHeight="14.5" x14ac:dyDescent="0.35"/>
  <sheetData>
    <row r="3" spans="2:9" ht="15" x14ac:dyDescent="0.4">
      <c r="B3" s="28" t="s">
        <v>308</v>
      </c>
      <c r="C3" s="28" t="s">
        <v>309</v>
      </c>
      <c r="D3" s="28" t="s">
        <v>310</v>
      </c>
      <c r="F3" s="28" t="s">
        <v>311</v>
      </c>
      <c r="G3" s="28" t="s">
        <v>312</v>
      </c>
      <c r="H3" s="28" t="s">
        <v>313</v>
      </c>
    </row>
    <row r="4" spans="2:9" x14ac:dyDescent="0.35">
      <c r="B4" s="12" t="s">
        <v>314</v>
      </c>
      <c r="C4" s="11" t="s">
        <v>315</v>
      </c>
      <c r="D4" s="11">
        <v>1</v>
      </c>
      <c r="F4" t="s">
        <v>316</v>
      </c>
      <c r="G4" s="2" t="s">
        <v>316</v>
      </c>
      <c r="H4" s="2" t="s">
        <v>316</v>
      </c>
    </row>
    <row r="5" spans="2:9" x14ac:dyDescent="0.35">
      <c r="B5" s="12" t="s">
        <v>317</v>
      </c>
      <c r="C5" s="11" t="s">
        <v>318</v>
      </c>
      <c r="D5" s="11">
        <v>0.35</v>
      </c>
      <c r="F5" t="s">
        <v>319</v>
      </c>
      <c r="G5" s="2" t="s">
        <v>319</v>
      </c>
      <c r="H5" s="2" t="s">
        <v>319</v>
      </c>
    </row>
    <row r="6" spans="2:9" x14ac:dyDescent="0.35">
      <c r="B6" s="12" t="s">
        <v>320</v>
      </c>
      <c r="C6" s="11" t="s">
        <v>321</v>
      </c>
      <c r="D6" s="11">
        <v>0.2</v>
      </c>
      <c r="F6" t="s">
        <v>217</v>
      </c>
      <c r="G6" s="2"/>
      <c r="H6" s="2"/>
    </row>
    <row r="7" spans="2:9" x14ac:dyDescent="0.35">
      <c r="B7" s="12" t="s">
        <v>322</v>
      </c>
      <c r="C7" s="11" t="s">
        <v>323</v>
      </c>
      <c r="D7" s="11">
        <v>0.8</v>
      </c>
    </row>
    <row r="8" spans="2:9" x14ac:dyDescent="0.35">
      <c r="B8" s="13" t="s">
        <v>324</v>
      </c>
      <c r="C8" s="14" t="s">
        <v>325</v>
      </c>
      <c r="D8" s="14">
        <v>0.5</v>
      </c>
    </row>
    <row r="10" spans="2:9" x14ac:dyDescent="0.35">
      <c r="G10" s="31" t="s">
        <v>208</v>
      </c>
      <c r="I10" s="31" t="s">
        <v>326</v>
      </c>
    </row>
    <row r="11" spans="2:9" x14ac:dyDescent="0.35">
      <c r="B11" s="31" t="s">
        <v>264</v>
      </c>
      <c r="G11" s="32" t="s">
        <v>216</v>
      </c>
      <c r="I11" s="32" t="s">
        <v>327</v>
      </c>
    </row>
    <row r="12" spans="2:9" x14ac:dyDescent="0.35">
      <c r="B12" s="32">
        <v>7</v>
      </c>
      <c r="G12" s="32" t="s">
        <v>328</v>
      </c>
      <c r="I12" s="32" t="s">
        <v>329</v>
      </c>
    </row>
    <row r="13" spans="2:9" x14ac:dyDescent="0.35">
      <c r="B13" s="32">
        <v>10</v>
      </c>
      <c r="G13" s="32" t="s">
        <v>330</v>
      </c>
    </row>
    <row r="14" spans="2:9" x14ac:dyDescent="0.35">
      <c r="B14" s="11" t="s">
        <v>173</v>
      </c>
      <c r="G14" s="11" t="s">
        <v>217</v>
      </c>
    </row>
    <row r="17" spans="2:4" x14ac:dyDescent="0.35">
      <c r="B17" s="31" t="s">
        <v>331</v>
      </c>
    </row>
    <row r="18" spans="2:4" x14ac:dyDescent="0.35">
      <c r="B18" s="32" t="s">
        <v>332</v>
      </c>
    </row>
    <row r="19" spans="2:4" x14ac:dyDescent="0.35">
      <c r="B19" s="11" t="s">
        <v>333</v>
      </c>
      <c r="D19" s="31" t="s">
        <v>334</v>
      </c>
    </row>
    <row r="20" spans="2:4" x14ac:dyDescent="0.35">
      <c r="B20" s="32" t="s">
        <v>335</v>
      </c>
      <c r="D20" s="32" t="s">
        <v>336</v>
      </c>
    </row>
    <row r="21" spans="2:4" x14ac:dyDescent="0.35">
      <c r="B21" s="11" t="s">
        <v>337</v>
      </c>
      <c r="D21" s="11">
        <v>30</v>
      </c>
    </row>
    <row r="22" spans="2:4" x14ac:dyDescent="0.35">
      <c r="B22" s="32" t="s">
        <v>338</v>
      </c>
      <c r="D22" s="32">
        <v>45</v>
      </c>
    </row>
    <row r="23" spans="2:4" x14ac:dyDescent="0.35">
      <c r="B23" s="32" t="s">
        <v>339</v>
      </c>
      <c r="D23" s="11">
        <v>60</v>
      </c>
    </row>
    <row r="24" spans="2:4" x14ac:dyDescent="0.35">
      <c r="B24" s="11" t="s">
        <v>340</v>
      </c>
      <c r="D24" s="32" t="s">
        <v>341</v>
      </c>
    </row>
    <row r="25" spans="2:4" x14ac:dyDescent="0.35">
      <c r="B25" s="32" t="s">
        <v>342</v>
      </c>
    </row>
  </sheetData>
  <hyperlinks>
    <hyperlink ref="C3" location="_ftn1" display="_ftn1" xr:uid="{A2C7FE7F-9A7F-4D87-896D-B2D280BB0FB6}"/>
  </hyperlinks>
  <pageMargins left="0.7" right="0.7" top="0.75" bottom="0.75" header="0.3" footer="0.3"/>
  <tableParts count="2">
    <tablePart r:id="rId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E383F-1E37-4055-AB95-C7EF0530F534}">
  <sheetPr codeName="Sheet9">
    <tabColor theme="6"/>
  </sheetPr>
  <dimension ref="A5:C11"/>
  <sheetViews>
    <sheetView showGridLines="0" workbookViewId="0">
      <selection activeCell="A11" sqref="A11"/>
    </sheetView>
  </sheetViews>
  <sheetFormatPr defaultColWidth="10.26953125" defaultRowHeight="14.5" x14ac:dyDescent="0.35"/>
  <cols>
    <col min="1" max="1" width="11.26953125" bestFit="1" customWidth="1"/>
    <col min="2" max="2" width="11" bestFit="1" customWidth="1"/>
    <col min="3" max="3" width="107.7265625" bestFit="1" customWidth="1"/>
  </cols>
  <sheetData>
    <row r="5" spans="1:3" ht="14.25" customHeight="1" x14ac:dyDescent="0.35">
      <c r="A5" s="15" t="s">
        <v>343</v>
      </c>
      <c r="B5" s="17" t="s">
        <v>344</v>
      </c>
      <c r="C5" s="17" t="s">
        <v>202</v>
      </c>
    </row>
    <row r="6" spans="1:3" x14ac:dyDescent="0.35">
      <c r="A6" s="134">
        <v>1</v>
      </c>
      <c r="B6" s="135">
        <v>44585</v>
      </c>
      <c r="C6" s="136" t="s">
        <v>345</v>
      </c>
    </row>
    <row r="7" spans="1:3" ht="43.5" x14ac:dyDescent="0.35">
      <c r="A7" s="134">
        <v>2</v>
      </c>
      <c r="B7" s="135">
        <v>44984</v>
      </c>
      <c r="C7" s="137" t="s">
        <v>346</v>
      </c>
    </row>
    <row r="8" spans="1:3" ht="54.65" customHeight="1" x14ac:dyDescent="0.35">
      <c r="A8" s="138" t="s">
        <v>347</v>
      </c>
      <c r="B8" s="135">
        <v>45089</v>
      </c>
      <c r="C8" s="137" t="s">
        <v>348</v>
      </c>
    </row>
    <row r="9" spans="1:3" ht="43.5" x14ac:dyDescent="0.35">
      <c r="A9" s="138" t="s">
        <v>349</v>
      </c>
      <c r="B9" s="135">
        <v>45100</v>
      </c>
      <c r="C9" s="137" t="s">
        <v>350</v>
      </c>
    </row>
    <row r="10" spans="1:3" x14ac:dyDescent="0.35">
      <c r="A10" s="138" t="s">
        <v>351</v>
      </c>
      <c r="B10" s="135">
        <v>45126</v>
      </c>
      <c r="C10" s="137" t="s">
        <v>352</v>
      </c>
    </row>
    <row r="11" spans="1:3" x14ac:dyDescent="0.35">
      <c r="A11" s="138" t="s">
        <v>353</v>
      </c>
      <c r="B11" s="135">
        <v>45673</v>
      </c>
      <c r="C11" s="137" t="s">
        <v>354</v>
      </c>
    </row>
  </sheetData>
  <sheetProtection algorithmName="SHA-512" hashValue="4fDL+m53UowySgXXrEmnt3dzFjSVO3VKM3NXk9s4MfIAVppQHees0NfqJY+gKM4XUenXJhaB4UdlScF59BZjUg==" saltValue="qB80baoCKBdw3341gsxcJg==" spinCount="100000" sheet="1" objects="1" scenarios="1"/>
  <phoneticPr fontId="6"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7c555f-8057-4c73-b12f-18d69bce06d1">
      <Terms xmlns="http://schemas.microsoft.com/office/infopath/2007/PartnerControls"/>
    </lcf76f155ced4ddcb4097134ff3c332f>
    <TaxCatchAll xmlns="e2fb4e91-ee4b-4ec1-b363-7d1e23e17cd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98F482BB0DEE34796778806672EBD1E" ma:contentTypeVersion="18" ma:contentTypeDescription="Create a new document." ma:contentTypeScope="" ma:versionID="1b234d6d650aabacc6fefda8be300f96">
  <xsd:schema xmlns:xsd="http://www.w3.org/2001/XMLSchema" xmlns:xs="http://www.w3.org/2001/XMLSchema" xmlns:p="http://schemas.microsoft.com/office/2006/metadata/properties" xmlns:ns2="da7c555f-8057-4c73-b12f-18d69bce06d1" xmlns:ns3="e2fb4e91-ee4b-4ec1-b363-7d1e23e17cdd" targetNamespace="http://schemas.microsoft.com/office/2006/metadata/properties" ma:root="true" ma:fieldsID="60f8b3cc9994dd15011a74e58cfb0516" ns2:_="" ns3:_="">
    <xsd:import namespace="da7c555f-8057-4c73-b12f-18d69bce06d1"/>
    <xsd:import namespace="e2fb4e91-ee4b-4ec1-b363-7d1e23e17cd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c555f-8057-4c73-b12f-18d69bce0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162c608-1b84-4ac6-a0c9-e2eda6bf67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fb4e91-ee4b-4ec1-b363-7d1e23e17cd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dbd5c4e-dcb3-481e-99bc-ac1bb0b20b74}" ma:internalName="TaxCatchAll" ma:showField="CatchAllData" ma:web="e2fb4e91-ee4b-4ec1-b363-7d1e23e17c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5526F7-B00E-407E-86C6-6ABF4F88E992}">
  <ds:schemaRefs>
    <ds:schemaRef ds:uri="http://schemas.microsoft.com/sharepoint/v3/contenttype/forms"/>
  </ds:schemaRefs>
</ds:datastoreItem>
</file>

<file path=customXml/itemProps2.xml><?xml version="1.0" encoding="utf-8"?>
<ds:datastoreItem xmlns:ds="http://schemas.openxmlformats.org/officeDocument/2006/customXml" ds:itemID="{A26B4FE0-DCEE-401B-8B77-A181C53F6088}">
  <ds:schemaRefs>
    <ds:schemaRef ds:uri="http://schemas.microsoft.com/office/2006/metadata/properties"/>
    <ds:schemaRef ds:uri="http://schemas.microsoft.com/office/infopath/2007/PartnerControls"/>
    <ds:schemaRef ds:uri="da7c555f-8057-4c73-b12f-18d69bce06d1"/>
    <ds:schemaRef ds:uri="e2fb4e91-ee4b-4ec1-b363-7d1e23e17cdd"/>
  </ds:schemaRefs>
</ds:datastoreItem>
</file>

<file path=customXml/itemProps3.xml><?xml version="1.0" encoding="utf-8"?>
<ds:datastoreItem xmlns:ds="http://schemas.openxmlformats.org/officeDocument/2006/customXml" ds:itemID="{730B6729-74CB-4B94-8174-E06A5EBD89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c555f-8057-4c73-b12f-18d69bce06d1"/>
    <ds:schemaRef ds:uri="e2fb4e91-ee4b-4ec1-b363-7d1e23e17c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54</vt:i4>
      </vt:variant>
    </vt:vector>
  </HeadingPairs>
  <TitlesOfParts>
    <vt:vector size="63" baseType="lpstr">
      <vt:lpstr>Instructions</vt:lpstr>
      <vt:lpstr>Select System</vt:lpstr>
      <vt:lpstr>Dwelling data</vt:lpstr>
      <vt:lpstr>SAP10 Savings</vt:lpstr>
      <vt:lpstr>Details</vt:lpstr>
      <vt:lpstr>Checklist</vt:lpstr>
      <vt:lpstr>SAP Tables</vt:lpstr>
      <vt:lpstr>Dropdowns</vt:lpstr>
      <vt:lpstr>Changecontrol</vt:lpstr>
      <vt:lpstr>Details!_ftnref1</vt:lpstr>
      <vt:lpstr>Details!beta</vt:lpstr>
      <vt:lpstr>boiler</vt:lpstr>
      <vt:lpstr>checklist_yn</vt:lpstr>
      <vt:lpstr>Details!divert_sav_mix</vt:lpstr>
      <vt:lpstr>Details!divert_sav_stan</vt:lpstr>
      <vt:lpstr>diverter_present</vt:lpstr>
      <vt:lpstr>Details!diverter_ratio_mix</vt:lpstr>
      <vt:lpstr>Details!diverter_ratio_stan</vt:lpstr>
      <vt:lpstr>electricity_tariff</vt:lpstr>
      <vt:lpstr>fPV_diverter_storageloss</vt:lpstr>
      <vt:lpstr>fPV_diverter_storageloss_mixergy</vt:lpstr>
      <vt:lpstr>full_sap</vt:lpstr>
      <vt:lpstr>gas_sys</vt:lpstr>
      <vt:lpstr>heat_pump1</vt:lpstr>
      <vt:lpstr>heatpump1</vt:lpstr>
      <vt:lpstr>heatpump2</vt:lpstr>
      <vt:lpstr>heatpumpair</vt:lpstr>
      <vt:lpstr>heatpumpgroundwater</vt:lpstr>
      <vt:lpstr>high_rate_fraction_1</vt:lpstr>
      <vt:lpstr>high_rate_fraction_2</vt:lpstr>
      <vt:lpstr>high_rate_fraction_secon</vt:lpstr>
      <vt:lpstr>Details!HWD_minusPV</vt:lpstr>
      <vt:lpstr>Details!HWD_minusPV_eff</vt:lpstr>
      <vt:lpstr>Details!HWD_minusPV_eff_stan</vt:lpstr>
      <vt:lpstr>Details!HWD_reduction</vt:lpstr>
      <vt:lpstr>Details!HWD_reduction_mix</vt:lpstr>
      <vt:lpstr>main_space_sys1</vt:lpstr>
      <vt:lpstr>main_space_sys2</vt:lpstr>
      <vt:lpstr>NA</vt:lpstr>
      <vt:lpstr>Non_electric_system</vt:lpstr>
      <vt:lpstr>occupants</vt:lpstr>
      <vt:lpstr>oil_sys</vt:lpstr>
      <vt:lpstr>Details!On_peak_frac_water</vt:lpstr>
      <vt:lpstr>Details!R_PV</vt:lpstr>
      <vt:lpstr>rd_sap</vt:lpstr>
      <vt:lpstr>sap_type</vt:lpstr>
      <vt:lpstr>solid_sys</vt:lpstr>
      <vt:lpstr>standard_tariff</vt:lpstr>
      <vt:lpstr>Sys_Idx</vt:lpstr>
      <vt:lpstr>Sys_Idx_no</vt:lpstr>
      <vt:lpstr>Sys_Index_no</vt:lpstr>
      <vt:lpstr>Sys_tariff</vt:lpstr>
      <vt:lpstr>tank_selected</vt:lpstr>
      <vt:lpstr>tank_size</vt:lpstr>
      <vt:lpstr>TFA</vt:lpstr>
      <vt:lpstr>underfloor</vt:lpstr>
      <vt:lpstr>Details!Water_demand_savings_mix</vt:lpstr>
      <vt:lpstr>Details!Water_demand_savings_stan</vt:lpstr>
      <vt:lpstr>water_heat_eff</vt:lpstr>
      <vt:lpstr>water_heat_fuel</vt:lpstr>
      <vt:lpstr>Details!water_heat_peak</vt:lpstr>
      <vt:lpstr>water_heat_sys</vt:lpstr>
      <vt:lpstr>water_heat_tariff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Sivarajah, Dharm</dc:creator>
  <cp:keywords/>
  <dc:description/>
  <cp:lastModifiedBy>Ben Halls</cp:lastModifiedBy>
  <cp:revision/>
  <dcterms:created xsi:type="dcterms:W3CDTF">2015-06-05T18:17:20Z</dcterms:created>
  <dcterms:modified xsi:type="dcterms:W3CDTF">2025-10-14T10:49:05Z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0x010100698F482BB0DEE34796778806672EBD1E</vt:lpwstr>
  </property>
  <property fmtid="{D5CDD505-2E9C-101B-9397-08002B2CF9AE}" pid="3" name="MediaServiceImageTags">
    <vt:lpwstr/>
  </property>
</Properties>
</file>